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X:\Contrôle Interne\Revendications\"/>
    </mc:Choice>
  </mc:AlternateContent>
  <xr:revisionPtr revIDLastSave="0" documentId="13_ncr:1_{31EEF248-74A2-4CF2-A58F-27E464F574DD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DRev" sheetId="1" r:id="rId1"/>
    <sheet name="VCI-VReg" sheetId="6" r:id="rId2"/>
    <sheet name="85-15" sheetId="2" r:id="rId3"/>
    <sheet name="Coek K" sheetId="4" r:id="rId4"/>
    <sheet name="Pieds morts et manquants" sheetId="9" r:id="rId5"/>
    <sheet name="Feuil1" sheetId="10" r:id="rId6"/>
  </sheets>
  <definedNames>
    <definedName name="Bxblanc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7" i="1" l="1"/>
  <c r="Q8" i="1"/>
  <c r="Q10" i="1"/>
  <c r="Q11" i="1"/>
  <c r="Q12" i="1"/>
  <c r="B11" i="4"/>
  <c r="B10" i="4"/>
  <c r="B9" i="4"/>
  <c r="M4" i="6"/>
  <c r="L5" i="6"/>
  <c r="K5" i="6"/>
  <c r="L4" i="6"/>
  <c r="K4" i="6"/>
  <c r="G4" i="6"/>
  <c r="E4" i="6"/>
  <c r="E8" i="9"/>
  <c r="E9" i="9"/>
  <c r="E10" i="9"/>
  <c r="E11" i="9"/>
  <c r="E12" i="9"/>
  <c r="E13" i="9"/>
  <c r="E14" i="9"/>
  <c r="E15" i="9"/>
  <c r="E16" i="9"/>
  <c r="E17" i="9"/>
  <c r="E18" i="9"/>
  <c r="E19" i="9"/>
  <c r="E20" i="9"/>
  <c r="E21" i="9"/>
  <c r="E22" i="9"/>
  <c r="E23" i="9"/>
  <c r="E24" i="9"/>
  <c r="E25" i="9"/>
  <c r="B26" i="9"/>
  <c r="F25" i="9"/>
  <c r="D25" i="9"/>
  <c r="F24" i="9"/>
  <c r="D24" i="9"/>
  <c r="F23" i="9"/>
  <c r="D23" i="9"/>
  <c r="F22" i="9"/>
  <c r="D22" i="9"/>
  <c r="F21" i="9"/>
  <c r="D21" i="9"/>
  <c r="F20" i="9"/>
  <c r="D20" i="9"/>
  <c r="F19" i="9"/>
  <c r="D19" i="9"/>
  <c r="F18" i="9"/>
  <c r="D18" i="9"/>
  <c r="F17" i="9"/>
  <c r="D17" i="9"/>
  <c r="F16" i="9"/>
  <c r="D16" i="9"/>
  <c r="F15" i="9"/>
  <c r="D15" i="9"/>
  <c r="F14" i="9"/>
  <c r="D14" i="9"/>
  <c r="F13" i="9"/>
  <c r="D13" i="9"/>
  <c r="F12" i="9"/>
  <c r="D12" i="9"/>
  <c r="F11" i="9"/>
  <c r="D11" i="9"/>
  <c r="F10" i="9"/>
  <c r="D10" i="9"/>
  <c r="F9" i="9"/>
  <c r="D9" i="9"/>
  <c r="F8" i="9"/>
  <c r="D8" i="9"/>
  <c r="D7" i="9"/>
  <c r="E7" i="9" s="1"/>
  <c r="F7" i="9" s="1"/>
  <c r="D6" i="9"/>
  <c r="E6" i="9" s="1"/>
  <c r="F6" i="9" s="1"/>
  <c r="I17" i="6"/>
  <c r="G5" i="6"/>
  <c r="I16" i="6"/>
  <c r="E5" i="6"/>
  <c r="N17" i="1"/>
  <c r="H18" i="1" s="1"/>
  <c r="K18" i="1" s="1"/>
  <c r="P15" i="1"/>
  <c r="P16" i="1"/>
  <c r="P7" i="1"/>
  <c r="P8" i="1"/>
  <c r="P9" i="1"/>
  <c r="Q9" i="1" s="1"/>
  <c r="P10" i="1"/>
  <c r="P11" i="1"/>
  <c r="P12" i="1"/>
  <c r="P6" i="1"/>
  <c r="Q6" i="1" s="1"/>
  <c r="H23" i="1" l="1"/>
  <c r="M5" i="6"/>
  <c r="B12" i="4"/>
  <c r="H24" i="1"/>
  <c r="F26" i="9"/>
  <c r="E26" i="9"/>
  <c r="B17" i="6"/>
  <c r="I5" i="6" s="1"/>
  <c r="J5" i="6" s="1"/>
  <c r="D10" i="6"/>
  <c r="F10" i="6" s="1"/>
  <c r="D11" i="6"/>
  <c r="F11" i="6" l="1"/>
  <c r="E11" i="6" s="1"/>
  <c r="C11" i="6"/>
  <c r="C10" i="6"/>
  <c r="E10" i="6" s="1"/>
  <c r="B16" i="6" l="1"/>
  <c r="C16" i="6" s="1"/>
  <c r="F16" i="6" s="1"/>
  <c r="C17" i="6"/>
  <c r="F17" i="6" s="1"/>
  <c r="I4" i="6" l="1"/>
  <c r="J4" i="6" s="1"/>
  <c r="D16" i="6"/>
  <c r="D17" i="6"/>
  <c r="J5" i="2"/>
  <c r="I5" i="2"/>
  <c r="G5" i="2"/>
  <c r="F5" i="2" s="1"/>
  <c r="C5" i="2"/>
  <c r="A5" i="2" s="1"/>
  <c r="K26" i="1"/>
  <c r="K25" i="1"/>
  <c r="K24" i="1"/>
  <c r="K23" i="1"/>
  <c r="K21" i="1"/>
  <c r="K20" i="1"/>
  <c r="K19" i="1"/>
  <c r="H16" i="1"/>
  <c r="H15" i="1"/>
  <c r="Q15" i="1" s="1"/>
  <c r="K12" i="1"/>
  <c r="K11" i="1"/>
  <c r="K10" i="1"/>
  <c r="K9" i="1"/>
  <c r="K8" i="1"/>
  <c r="K7" i="1"/>
  <c r="K6" i="1"/>
  <c r="K16" i="1" l="1"/>
  <c r="Q16" i="1"/>
  <c r="H22" i="1"/>
  <c r="K22" i="1" s="1"/>
  <c r="H17" i="1"/>
  <c r="K17" i="1" s="1"/>
  <c r="K15" i="1"/>
  <c r="K27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232814DC-0733-4DF7-92FB-CCEFCDDD1F92}" keepAlive="1" name="Requête - Bxblanc" description="Connexion à la requête « Bxblanc » dans le classeur." type="5" refreshedVersion="0" background="1">
    <dbPr connection="Provider=Microsoft.Mashup.OleDb.1;Data Source=$Workbook$;Location=Bxblanc;Extended Properties=&quot;&quot;" command="SELECT * FROM [Bxblanc]"/>
  </connection>
</connections>
</file>

<file path=xl/sharedStrings.xml><?xml version="1.0" encoding="utf-8"?>
<sst xmlns="http://schemas.openxmlformats.org/spreadsheetml/2006/main" count="144" uniqueCount="99">
  <si>
    <t>CALCUL DES COTISATIONS DE LA DECLARATION DE REVENDICATION</t>
  </si>
  <si>
    <t>Ne remplir que les cases blanches</t>
  </si>
  <si>
    <t>COTISATIONS PROMOTION</t>
  </si>
  <si>
    <r>
      <t>VOLUMES REVENDIQUES</t>
    </r>
    <r>
      <rPr>
        <sz val="9"/>
        <color theme="1"/>
        <rFont val="Univers LT 45 Light"/>
      </rPr>
      <t xml:space="preserve"> (en hl)</t>
    </r>
  </si>
  <si>
    <t xml:space="preserve">PU </t>
  </si>
  <si>
    <t>MONTANT</t>
  </si>
  <si>
    <t>BORDEAUX BLANC SEC</t>
  </si>
  <si>
    <t>X</t>
  </si>
  <si>
    <t>BORDEAUX BLANC AVEC SUCRES RESIDUELS</t>
  </si>
  <si>
    <t>BORDEAUX ROSE</t>
  </si>
  <si>
    <t>BORDEAUX CLAIRET</t>
  </si>
  <si>
    <t>BORDEAUX SUPERIEUR BLANC</t>
  </si>
  <si>
    <t>VIIN DE BASE CREMANT BLANC</t>
  </si>
  <si>
    <t>VIN DE BASE CREMANT ROSE</t>
  </si>
  <si>
    <t>BORDEAUX ROUGE</t>
  </si>
  <si>
    <t>+</t>
  </si>
  <si>
    <t>=</t>
  </si>
  <si>
    <t>BORDEAUX SUPERIEUR ROUGE</t>
  </si>
  <si>
    <t>FRAIS DE CONTRÔLE INTERNE ODG</t>
  </si>
  <si>
    <t>COTISATION STATUTAIRE SYNDICALE</t>
  </si>
  <si>
    <t>FRAIS DE TRAITEMENT ADMIISTRATIF ODG</t>
  </si>
  <si>
    <t>PENALITES DE RETARD</t>
  </si>
  <si>
    <t>DROITS INAO</t>
  </si>
  <si>
    <t>COTISATION GDON (ha)</t>
  </si>
  <si>
    <t>ADELFA (ha)</t>
  </si>
  <si>
    <t>GDON LIBOURNAIS</t>
  </si>
  <si>
    <t>ABONNEMENT UNION GIRONDINE</t>
  </si>
  <si>
    <t>TOTAL</t>
  </si>
  <si>
    <t>NE REMPLIR QUE LES CASES BLANCHES</t>
  </si>
  <si>
    <t>Rendement autorisé</t>
  </si>
  <si>
    <t>CALCUL DES RENDEMENTS</t>
  </si>
  <si>
    <t>AOC</t>
  </si>
  <si>
    <t>SURFACE</t>
  </si>
  <si>
    <t>Bordeaux blanc sec</t>
  </si>
  <si>
    <t>Bordeaux blanc +4g</t>
  </si>
  <si>
    <t>CALCUL 85/15</t>
  </si>
  <si>
    <t>Volume total</t>
  </si>
  <si>
    <t xml:space="preserve">Cadillac </t>
  </si>
  <si>
    <t>Cérons</t>
  </si>
  <si>
    <t>Loupiac</t>
  </si>
  <si>
    <t>St Croix du Mont</t>
  </si>
  <si>
    <t>CALCUL DU COEF K</t>
  </si>
  <si>
    <t>% manquants</t>
  </si>
  <si>
    <t>CALCUL PIEDS MORTS ET MANQUANTS</t>
  </si>
  <si>
    <t>Superficie
(ha)</t>
  </si>
  <si>
    <t>RENDEMENT REVENDICABLE</t>
  </si>
  <si>
    <t>VOLUME REVENDICABLE AUTORISE</t>
  </si>
  <si>
    <t xml:space="preserve">Bx rouge </t>
  </si>
  <si>
    <t>Bx Sup rouge</t>
  </si>
  <si>
    <t>Rendement revendicable</t>
  </si>
  <si>
    <t>Volume revendicable autorisé</t>
  </si>
  <si>
    <t>VOLUME REGULATEUR AUTORISE</t>
  </si>
  <si>
    <t>Volume régulateur constituable</t>
  </si>
  <si>
    <t>CALCUL DU VCI REMPLACE ET UTILISE</t>
  </si>
  <si>
    <t>Volume maximum dans le rendement autorisé</t>
  </si>
  <si>
    <t>Surface 
L4 DR</t>
  </si>
  <si>
    <t>Volume
L15 DR</t>
  </si>
  <si>
    <t>Sauternes</t>
  </si>
  <si>
    <t>Barsac</t>
  </si>
  <si>
    <t>AOC/couleur</t>
  </si>
  <si>
    <t>Bordeaux rosé</t>
  </si>
  <si>
    <t>Bordeaux clairet</t>
  </si>
  <si>
    <t>Bordeaux rouge</t>
  </si>
  <si>
    <t>Bordeaux Supérieur blanc</t>
  </si>
  <si>
    <t>Bordeaux Supérieur rouge</t>
  </si>
  <si>
    <t>Crémant</t>
  </si>
  <si>
    <t>Vol. dans la limite du rendement sans réfaction</t>
  </si>
  <si>
    <t>Vol. autorisé / 
parcelle après réfaction</t>
  </si>
  <si>
    <t>Déclassement maximum  autorisé</t>
  </si>
  <si>
    <t>Nouveau stock après déclassement</t>
  </si>
  <si>
    <t>Volume déclassé</t>
  </si>
  <si>
    <t>maximum</t>
  </si>
  <si>
    <t>L15</t>
  </si>
  <si>
    <t>Total volume revendiqué</t>
  </si>
  <si>
    <t>Volume au rendement revendicable</t>
  </si>
  <si>
    <t>Volume au rendement autorisé</t>
  </si>
  <si>
    <t>Volume compris entre les deux rendements</t>
  </si>
  <si>
    <t>Stock maximum de volume régulateur autorisé</t>
  </si>
  <si>
    <t>COTISATION STATUTAIRE SYNDICALE / ha</t>
  </si>
  <si>
    <t>Volume 2023</t>
  </si>
  <si>
    <t>Rdt auto</t>
  </si>
  <si>
    <t>Coef K</t>
  </si>
  <si>
    <t>-</t>
  </si>
  <si>
    <t>Superficie en liquoreux</t>
  </si>
  <si>
    <t>Volume autorisé en Bordeaux</t>
  </si>
  <si>
    <t>Volume déclaré en liquoruex</t>
  </si>
  <si>
    <t>Volume du rendement autorisé en Bordeaux</t>
  </si>
  <si>
    <t>Volume du rendement autorisé en liquoreux</t>
  </si>
  <si>
    <t>AOC liquoreux concernée</t>
  </si>
  <si>
    <t>Stock VReg 2023</t>
  </si>
  <si>
    <t>VReg 2023 remplacé</t>
  </si>
  <si>
    <t>VReg 2023 utilisé</t>
  </si>
  <si>
    <t>Volume 2024 revendiqué</t>
  </si>
  <si>
    <t>Nouveau stock de volume régulateur 2024</t>
  </si>
  <si>
    <t>Volume 2024</t>
  </si>
  <si>
    <t>VOLUMES PRODUITS EN 2023
ET REVENDIQUES EN 2024 (en hl)</t>
  </si>
  <si>
    <t>VOLUMES PRODUITS ET REVENDIQUES EN 2024 (en hl)</t>
  </si>
  <si>
    <t>VReg remplacé</t>
  </si>
  <si>
    <t>VReg utilisé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</si>
</sst>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&quot; hl&quot;"/>
    <numFmt numFmtId="165" formatCode="_-* #,##0.00\ [$€-40C]_-;\-* #,##0.00\ [$€-40C]_-;_-* &quot;-&quot;??\ [$€-40C]_-;_-@_-"/>
    <numFmt numFmtId="166" formatCode="#,##0.0000&quot; ha&quot;"/>
    <numFmt numFmtId="167" formatCode="#,##0&quot; hl/ha&quot;"/>
    <numFmt numFmtId="168" formatCode="#,##0.0000&quot; hl&quot;"/>
  </numFmts>
  <fonts count="22" x14ac:knownFonts="1">
    <font>
      <sz val="10"/>
      <color theme="1"/>
      <name val="Univers LT 45 Light"/>
      <family val="2"/>
    </font>
    <font>
      <b/>
      <sz val="18"/>
      <color rgb="FF8D0D29"/>
      <name val="Univers LT 45 Light"/>
    </font>
    <font>
      <b/>
      <sz val="18"/>
      <color rgb="FF8D0D29"/>
      <name val="Univers LT 59 UltraCondensed"/>
      <family val="2"/>
    </font>
    <font>
      <b/>
      <sz val="9"/>
      <name val="Univers LT 45 Light"/>
    </font>
    <font>
      <sz val="9"/>
      <color theme="1"/>
      <name val="Univers LT 45 Light"/>
    </font>
    <font>
      <b/>
      <sz val="9"/>
      <color theme="1"/>
      <name val="Univers LT 45 Light"/>
    </font>
    <font>
      <sz val="9"/>
      <color rgb="FFFF0000"/>
      <name val="Univers LT 45 Light"/>
    </font>
    <font>
      <b/>
      <sz val="12"/>
      <color theme="5"/>
      <name val="Calibri"/>
      <family val="2"/>
      <scheme val="minor"/>
    </font>
    <font>
      <sz val="20"/>
      <name val="Univers LT 59 UltraCondensed"/>
      <family val="2"/>
    </font>
    <font>
      <b/>
      <sz val="10"/>
      <color theme="1"/>
      <name val="Univers LT 45 Light"/>
    </font>
    <font>
      <sz val="10"/>
      <color theme="1"/>
      <name val="Univers LT 45 Light"/>
      <family val="2"/>
    </font>
    <font>
      <sz val="10"/>
      <name val="Univers LT 45 Light"/>
    </font>
    <font>
      <sz val="10"/>
      <color theme="1"/>
      <name val="Univers LT 45 Light"/>
    </font>
    <font>
      <sz val="12"/>
      <color theme="1"/>
      <name val="Univers LT 45 Light"/>
      <family val="2"/>
    </font>
    <font>
      <sz val="12"/>
      <color theme="1"/>
      <name val="Univers LT 45 Light"/>
    </font>
    <font>
      <b/>
      <sz val="12"/>
      <color theme="1"/>
      <name val="Univers LT 45 Light"/>
    </font>
    <font>
      <sz val="20"/>
      <name val="Univers LT 45 Light"/>
    </font>
    <font>
      <b/>
      <sz val="10"/>
      <color rgb="FFFF0000"/>
      <name val="Univers LT 45 Light"/>
    </font>
    <font>
      <b/>
      <sz val="10"/>
      <name val="Univers LT 45 Light"/>
    </font>
    <font>
      <b/>
      <sz val="12"/>
      <name val="Univers LT 45 Light"/>
    </font>
    <font>
      <b/>
      <sz val="14"/>
      <color theme="1"/>
      <name val="Univers LT 45 Light"/>
    </font>
    <font>
      <b/>
      <sz val="11"/>
      <color rgb="FFFF0000"/>
      <name val="Univers LT 45 Light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6BFC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0.39997558519241921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0" fillId="0" borderId="0" applyFont="0" applyFill="0" applyBorder="0" applyAlignment="0" applyProtection="0"/>
  </cellStyleXfs>
  <cellXfs count="144">
    <xf numFmtId="0" fontId="0" fillId="0" borderId="0" xfId="0"/>
    <xf numFmtId="0" fontId="4" fillId="0" borderId="0" xfId="0" applyFont="1"/>
    <xf numFmtId="0" fontId="4" fillId="0" borderId="0" xfId="0" applyFont="1" applyAlignment="1">
      <alignment horizontal="right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top" wrapText="1"/>
    </xf>
    <xf numFmtId="0" fontId="4" fillId="2" borderId="7" xfId="0" applyFont="1" applyFill="1" applyBorder="1" applyAlignment="1">
      <alignment vertical="center"/>
    </xf>
    <xf numFmtId="0" fontId="4" fillId="2" borderId="8" xfId="0" applyFont="1" applyFill="1" applyBorder="1" applyAlignment="1">
      <alignment vertical="center"/>
    </xf>
    <xf numFmtId="0" fontId="4" fillId="2" borderId="9" xfId="0" applyFont="1" applyFill="1" applyBorder="1" applyAlignment="1">
      <alignment vertical="center"/>
    </xf>
    <xf numFmtId="164" fontId="4" fillId="0" borderId="10" xfId="0" applyNumberFormat="1" applyFont="1" applyBorder="1" applyAlignment="1">
      <alignment vertical="center"/>
    </xf>
    <xf numFmtId="165" fontId="4" fillId="2" borderId="9" xfId="0" applyNumberFormat="1" applyFont="1" applyFill="1" applyBorder="1" applyAlignment="1">
      <alignment horizontal="right" vertical="center"/>
    </xf>
    <xf numFmtId="165" fontId="4" fillId="3" borderId="11" xfId="0" applyNumberFormat="1" applyFont="1" applyFill="1" applyBorder="1" applyAlignment="1">
      <alignment vertical="center"/>
    </xf>
    <xf numFmtId="0" fontId="4" fillId="2" borderId="13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vertical="center"/>
    </xf>
    <xf numFmtId="164" fontId="4" fillId="0" borderId="18" xfId="0" applyNumberFormat="1" applyFont="1" applyBorder="1" applyAlignment="1">
      <alignment vertical="center"/>
    </xf>
    <xf numFmtId="0" fontId="4" fillId="2" borderId="18" xfId="0" quotePrefix="1" applyFont="1" applyFill="1" applyBorder="1" applyAlignment="1">
      <alignment horizontal="center" vertical="center"/>
    </xf>
    <xf numFmtId="164" fontId="4" fillId="3" borderId="10" xfId="0" applyNumberFormat="1" applyFont="1" applyFill="1" applyBorder="1" applyAlignment="1">
      <alignment vertical="center"/>
    </xf>
    <xf numFmtId="0" fontId="5" fillId="2" borderId="7" xfId="0" applyFont="1" applyFill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5" fillId="2" borderId="24" xfId="0" applyFont="1" applyFill="1" applyBorder="1" applyAlignment="1">
      <alignment vertical="center"/>
    </xf>
    <xf numFmtId="0" fontId="4" fillId="2" borderId="14" xfId="0" applyFont="1" applyFill="1" applyBorder="1" applyAlignment="1">
      <alignment vertical="center"/>
    </xf>
    <xf numFmtId="0" fontId="4" fillId="2" borderId="15" xfId="0" applyFont="1" applyFill="1" applyBorder="1" applyAlignment="1">
      <alignment vertical="center"/>
    </xf>
    <xf numFmtId="166" fontId="4" fillId="0" borderId="13" xfId="0" applyNumberFormat="1" applyFont="1" applyBorder="1" applyAlignment="1">
      <alignment vertical="center"/>
    </xf>
    <xf numFmtId="165" fontId="4" fillId="2" borderId="15" xfId="0" applyNumberFormat="1" applyFont="1" applyFill="1" applyBorder="1" applyAlignment="1">
      <alignment horizontal="right" vertical="center"/>
    </xf>
    <xf numFmtId="0" fontId="5" fillId="2" borderId="25" xfId="0" applyFont="1" applyFill="1" applyBorder="1" applyAlignment="1">
      <alignment vertical="center"/>
    </xf>
    <xf numFmtId="0" fontId="4" fillId="2" borderId="26" xfId="0" applyFont="1" applyFill="1" applyBorder="1" applyAlignment="1">
      <alignment vertical="center"/>
    </xf>
    <xf numFmtId="0" fontId="4" fillId="2" borderId="27" xfId="0" applyFont="1" applyFill="1" applyBorder="1" applyAlignment="1">
      <alignment vertical="center"/>
    </xf>
    <xf numFmtId="0" fontId="4" fillId="0" borderId="28" xfId="0" applyFont="1" applyBorder="1" applyAlignment="1">
      <alignment vertical="center"/>
    </xf>
    <xf numFmtId="165" fontId="4" fillId="2" borderId="27" xfId="0" applyNumberFormat="1" applyFont="1" applyFill="1" applyBorder="1" applyAlignment="1">
      <alignment horizontal="right" vertical="center"/>
    </xf>
    <xf numFmtId="165" fontId="4" fillId="3" borderId="29" xfId="0" applyNumberFormat="1" applyFont="1" applyFill="1" applyBorder="1" applyAlignment="1">
      <alignment vertical="center"/>
    </xf>
    <xf numFmtId="0" fontId="5" fillId="2" borderId="30" xfId="0" applyFont="1" applyFill="1" applyBorder="1" applyAlignment="1">
      <alignment horizontal="left" vertical="center" wrapText="1"/>
    </xf>
    <xf numFmtId="0" fontId="5" fillId="2" borderId="31" xfId="0" applyFont="1" applyFill="1" applyBorder="1" applyAlignment="1">
      <alignment horizontal="left" vertical="center" wrapText="1"/>
    </xf>
    <xf numFmtId="0" fontId="5" fillId="2" borderId="31" xfId="0" applyFont="1" applyFill="1" applyBorder="1" applyAlignment="1">
      <alignment vertical="center"/>
    </xf>
    <xf numFmtId="0" fontId="5" fillId="2" borderId="31" xfId="0" applyFont="1" applyFill="1" applyBorder="1" applyAlignment="1">
      <alignment horizontal="right" vertical="center"/>
    </xf>
    <xf numFmtId="0" fontId="5" fillId="2" borderId="1" xfId="0" applyFont="1" applyFill="1" applyBorder="1" applyAlignment="1">
      <alignment vertical="center"/>
    </xf>
    <xf numFmtId="0" fontId="4" fillId="0" borderId="0" xfId="0" applyFont="1" applyAlignment="1">
      <alignment horizontal="center"/>
    </xf>
    <xf numFmtId="0" fontId="4" fillId="2" borderId="8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0" fontId="5" fillId="2" borderId="3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7" fillId="0" borderId="0" xfId="0" applyFont="1"/>
    <xf numFmtId="0" fontId="8" fillId="0" borderId="0" xfId="0" applyFont="1"/>
    <xf numFmtId="0" fontId="0" fillId="2" borderId="18" xfId="0" applyFill="1" applyBorder="1" applyAlignment="1">
      <alignment horizontal="center" vertical="center" wrapText="1"/>
    </xf>
    <xf numFmtId="166" fontId="0" fillId="0" borderId="18" xfId="0" applyNumberFormat="1" applyBorder="1"/>
    <xf numFmtId="164" fontId="0" fillId="0" borderId="18" xfId="0" applyNumberFormat="1" applyBorder="1"/>
    <xf numFmtId="164" fontId="9" fillId="4" borderId="18" xfId="0" applyNumberFormat="1" applyFont="1" applyFill="1" applyBorder="1"/>
    <xf numFmtId="0" fontId="11" fillId="0" borderId="0" xfId="0" applyFont="1"/>
    <xf numFmtId="0" fontId="11" fillId="0" borderId="0" xfId="0" applyFont="1" applyAlignment="1">
      <alignment horizontal="center" vertical="center"/>
    </xf>
    <xf numFmtId="0" fontId="0" fillId="5" borderId="18" xfId="0" applyFill="1" applyBorder="1" applyAlignment="1">
      <alignment horizontal="center" vertical="center"/>
    </xf>
    <xf numFmtId="2" fontId="0" fillId="0" borderId="18" xfId="0" applyNumberFormat="1" applyBorder="1"/>
    <xf numFmtId="2" fontId="11" fillId="0" borderId="0" xfId="0" applyNumberFormat="1" applyFont="1"/>
    <xf numFmtId="2" fontId="12" fillId="0" borderId="18" xfId="0" applyNumberFormat="1" applyFont="1" applyBorder="1"/>
    <xf numFmtId="165" fontId="5" fillId="3" borderId="32" xfId="0" applyNumberFormat="1" applyFont="1" applyFill="1" applyBorder="1" applyAlignment="1">
      <alignment vertical="center"/>
    </xf>
    <xf numFmtId="0" fontId="13" fillId="0" borderId="0" xfId="0" applyFont="1"/>
    <xf numFmtId="0" fontId="15" fillId="5" borderId="18" xfId="0" applyFont="1" applyFill="1" applyBorder="1" applyAlignment="1">
      <alignment horizontal="center" vertical="center" wrapText="1"/>
    </xf>
    <xf numFmtId="0" fontId="0" fillId="0" borderId="0" xfId="0" applyAlignment="1">
      <alignment horizontal="right"/>
    </xf>
    <xf numFmtId="3" fontId="0" fillId="0" borderId="0" xfId="0" applyNumberFormat="1" applyAlignment="1" applyProtection="1">
      <alignment horizontal="center" vertical="center"/>
      <protection locked="0"/>
    </xf>
    <xf numFmtId="0" fontId="16" fillId="0" borderId="0" xfId="0" applyFont="1"/>
    <xf numFmtId="3" fontId="12" fillId="0" borderId="0" xfId="0" applyNumberFormat="1" applyFont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0" xfId="0" applyAlignment="1">
      <alignment horizontal="center" vertical="center"/>
    </xf>
    <xf numFmtId="0" fontId="9" fillId="0" borderId="0" xfId="0" applyFont="1"/>
    <xf numFmtId="167" fontId="0" fillId="2" borderId="18" xfId="0" applyNumberFormat="1" applyFill="1" applyBorder="1" applyAlignment="1">
      <alignment horizontal="center"/>
    </xf>
    <xf numFmtId="164" fontId="0" fillId="2" borderId="18" xfId="0" applyNumberFormat="1" applyFill="1" applyBorder="1"/>
    <xf numFmtId="0" fontId="0" fillId="2" borderId="33" xfId="0" applyFill="1" applyBorder="1"/>
    <xf numFmtId="0" fontId="0" fillId="2" borderId="33" xfId="0" applyFill="1" applyBorder="1" applyAlignment="1">
      <alignment horizontal="center"/>
    </xf>
    <xf numFmtId="0" fontId="0" fillId="2" borderId="34" xfId="0" applyFill="1" applyBorder="1"/>
    <xf numFmtId="0" fontId="0" fillId="2" borderId="34" xfId="0" applyFill="1" applyBorder="1" applyAlignment="1">
      <alignment horizontal="center"/>
    </xf>
    <xf numFmtId="0" fontId="9" fillId="2" borderId="18" xfId="0" applyFont="1" applyFill="1" applyBorder="1" applyAlignment="1">
      <alignment horizontal="center"/>
    </xf>
    <xf numFmtId="164" fontId="0" fillId="4" borderId="18" xfId="0" applyNumberFormat="1" applyFill="1" applyBorder="1"/>
    <xf numFmtId="0" fontId="9" fillId="2" borderId="18" xfId="0" applyFont="1" applyFill="1" applyBorder="1" applyAlignment="1">
      <alignment horizontal="center" vertical="center"/>
    </xf>
    <xf numFmtId="0" fontId="9" fillId="2" borderId="18" xfId="0" applyFont="1" applyFill="1" applyBorder="1" applyAlignment="1">
      <alignment horizontal="center" vertical="center" wrapText="1"/>
    </xf>
    <xf numFmtId="0" fontId="0" fillId="2" borderId="18" xfId="0" applyFill="1" applyBorder="1" applyAlignment="1">
      <alignment horizontal="left" vertical="center" wrapText="1"/>
    </xf>
    <xf numFmtId="167" fontId="0" fillId="2" borderId="18" xfId="0" applyNumberFormat="1" applyFill="1" applyBorder="1"/>
    <xf numFmtId="2" fontId="12" fillId="4" borderId="18" xfId="0" applyNumberFormat="1" applyFont="1" applyFill="1" applyBorder="1"/>
    <xf numFmtId="9" fontId="0" fillId="4" borderId="18" xfId="1" applyFont="1" applyFill="1" applyBorder="1"/>
    <xf numFmtId="2" fontId="0" fillId="4" borderId="18" xfId="0" applyNumberFormat="1" applyFill="1" applyBorder="1"/>
    <xf numFmtId="9" fontId="0" fillId="4" borderId="18" xfId="0" applyNumberFormat="1" applyFill="1" applyBorder="1"/>
    <xf numFmtId="167" fontId="14" fillId="4" borderId="18" xfId="0" applyNumberFormat="1" applyFont="1" applyFill="1" applyBorder="1" applyAlignment="1">
      <alignment horizontal="center" vertical="center"/>
    </xf>
    <xf numFmtId="164" fontId="14" fillId="4" borderId="18" xfId="0" applyNumberFormat="1" applyFont="1" applyFill="1" applyBorder="1" applyAlignment="1">
      <alignment horizontal="center" vertical="center"/>
    </xf>
    <xf numFmtId="167" fontId="14" fillId="4" borderId="33" xfId="0" applyNumberFormat="1" applyFont="1" applyFill="1" applyBorder="1" applyAlignment="1">
      <alignment horizontal="center" vertical="center"/>
    </xf>
    <xf numFmtId="164" fontId="14" fillId="4" borderId="33" xfId="0" applyNumberFormat="1" applyFont="1" applyFill="1" applyBorder="1" applyAlignment="1">
      <alignment horizontal="center" vertical="center"/>
    </xf>
    <xf numFmtId="0" fontId="14" fillId="0" borderId="18" xfId="0" applyFont="1" applyBorder="1"/>
    <xf numFmtId="166" fontId="14" fillId="0" borderId="0" xfId="0" applyNumberFormat="1" applyFont="1"/>
    <xf numFmtId="9" fontId="14" fillId="0" borderId="18" xfId="1" applyFont="1" applyBorder="1"/>
    <xf numFmtId="166" fontId="14" fillId="0" borderId="18" xfId="0" applyNumberFormat="1" applyFont="1" applyBorder="1"/>
    <xf numFmtId="0" fontId="14" fillId="0" borderId="33" xfId="0" applyFont="1" applyBorder="1"/>
    <xf numFmtId="166" fontId="14" fillId="0" borderId="33" xfId="0" applyNumberFormat="1" applyFont="1" applyBorder="1"/>
    <xf numFmtId="9" fontId="14" fillId="0" borderId="33" xfId="1" applyFont="1" applyBorder="1"/>
    <xf numFmtId="0" fontId="15" fillId="2" borderId="36" xfId="0" applyFont="1" applyFill="1" applyBorder="1"/>
    <xf numFmtId="166" fontId="14" fillId="4" borderId="35" xfId="0" applyNumberFormat="1" applyFont="1" applyFill="1" applyBorder="1"/>
    <xf numFmtId="0" fontId="14" fillId="4" borderId="36" xfId="0" applyFont="1" applyFill="1" applyBorder="1"/>
    <xf numFmtId="164" fontId="14" fillId="4" borderId="36" xfId="0" applyNumberFormat="1" applyFont="1" applyFill="1" applyBorder="1"/>
    <xf numFmtId="164" fontId="14" fillId="4" borderId="32" xfId="0" applyNumberFormat="1" applyFont="1" applyFill="1" applyBorder="1"/>
    <xf numFmtId="0" fontId="17" fillId="4" borderId="18" xfId="0" applyFont="1" applyFill="1" applyBorder="1"/>
    <xf numFmtId="4" fontId="9" fillId="4" borderId="18" xfId="0" applyNumberFormat="1" applyFont="1" applyFill="1" applyBorder="1"/>
    <xf numFmtId="0" fontId="0" fillId="2" borderId="10" xfId="0" applyFill="1" applyBorder="1" applyAlignment="1">
      <alignment horizontal="right" vertical="center" wrapText="1"/>
    </xf>
    <xf numFmtId="0" fontId="0" fillId="2" borderId="9" xfId="0" applyFill="1" applyBorder="1" applyAlignment="1">
      <alignment horizontal="left" vertical="center" wrapText="1"/>
    </xf>
    <xf numFmtId="166" fontId="5" fillId="2" borderId="10" xfId="0" applyNumberFormat="1" applyFont="1" applyFill="1" applyBorder="1" applyAlignment="1">
      <alignment vertical="center"/>
    </xf>
    <xf numFmtId="4" fontId="18" fillId="4" borderId="18" xfId="0" applyNumberFormat="1" applyFont="1" applyFill="1" applyBorder="1"/>
    <xf numFmtId="2" fontId="9" fillId="4" borderId="18" xfId="0" applyNumberFormat="1" applyFont="1" applyFill="1" applyBorder="1"/>
    <xf numFmtId="166" fontId="5" fillId="0" borderId="0" xfId="0" applyNumberFormat="1" applyFont="1" applyAlignment="1">
      <alignment vertical="center"/>
    </xf>
    <xf numFmtId="0" fontId="9" fillId="0" borderId="0" xfId="0" applyFont="1" applyAlignment="1">
      <alignment horizontal="center"/>
    </xf>
    <xf numFmtId="164" fontId="0" fillId="0" borderId="0" xfId="0" applyNumberFormat="1"/>
    <xf numFmtId="168" fontId="4" fillId="3" borderId="10" xfId="0" applyNumberFormat="1" applyFont="1" applyFill="1" applyBorder="1" applyAlignment="1">
      <alignment vertical="center"/>
    </xf>
    <xf numFmtId="0" fontId="14" fillId="2" borderId="18" xfId="0" applyFont="1" applyFill="1" applyBorder="1" applyAlignment="1">
      <alignment horizontal="right"/>
    </xf>
    <xf numFmtId="0" fontId="14" fillId="2" borderId="18" xfId="0" applyFont="1" applyFill="1" applyBorder="1"/>
    <xf numFmtId="0" fontId="14" fillId="0" borderId="0" xfId="0" applyFont="1"/>
    <xf numFmtId="0" fontId="14" fillId="6" borderId="18" xfId="0" applyFont="1" applyFill="1" applyBorder="1"/>
    <xf numFmtId="0" fontId="20" fillId="2" borderId="18" xfId="0" applyFont="1" applyFill="1" applyBorder="1" applyAlignment="1">
      <alignment horizontal="right"/>
    </xf>
    <xf numFmtId="2" fontId="20" fillId="6" borderId="18" xfId="0" applyNumberFormat="1" applyFont="1" applyFill="1" applyBorder="1"/>
    <xf numFmtId="0" fontId="19" fillId="0" borderId="18" xfId="0" applyFont="1" applyBorder="1"/>
    <xf numFmtId="0" fontId="14" fillId="0" borderId="18" xfId="0" applyFont="1" applyBorder="1" applyAlignment="1">
      <alignment horizontal="right"/>
    </xf>
    <xf numFmtId="167" fontId="14" fillId="0" borderId="18" xfId="0" applyNumberFormat="1" applyFont="1" applyBorder="1" applyAlignment="1">
      <alignment horizontal="right"/>
    </xf>
    <xf numFmtId="0" fontId="14" fillId="0" borderId="18" xfId="0" applyFont="1" applyBorder="1" applyAlignment="1">
      <alignment horizontal="left"/>
    </xf>
    <xf numFmtId="0" fontId="14" fillId="0" borderId="18" xfId="0" quotePrefix="1" applyFont="1" applyBorder="1" applyAlignment="1">
      <alignment horizontal="right"/>
    </xf>
    <xf numFmtId="0" fontId="21" fillId="0" borderId="0" xfId="0" applyFont="1"/>
    <xf numFmtId="0" fontId="1" fillId="0" borderId="0" xfId="0" applyFont="1" applyAlignment="1">
      <alignment horizontal="center" wrapText="1"/>
    </xf>
    <xf numFmtId="0" fontId="4" fillId="2" borderId="12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2" borderId="5" xfId="0" applyFont="1" applyFill="1" applyBorder="1" applyAlignment="1">
      <alignment horizontal="center" vertical="top" wrapText="1"/>
    </xf>
    <xf numFmtId="0" fontId="5" fillId="2" borderId="3" xfId="0" applyFont="1" applyFill="1" applyBorder="1" applyAlignment="1">
      <alignment horizontal="center" vertical="top" wrapText="1"/>
    </xf>
    <xf numFmtId="0" fontId="0" fillId="2" borderId="18" xfId="0" applyFill="1" applyBorder="1" applyAlignment="1">
      <alignment horizontal="center" vertical="center" wrapText="1"/>
    </xf>
    <xf numFmtId="166" fontId="4" fillId="4" borderId="10" xfId="0" applyNumberFormat="1" applyFont="1" applyFill="1" applyBorder="1" applyAlignment="1">
      <alignment vertic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colors>
    <mruColors>
      <color rgb="FF8D0D2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31"/>
  <sheetViews>
    <sheetView tabSelected="1" zoomScale="115" zoomScaleNormal="115" workbookViewId="0">
      <selection activeCell="N18" sqref="N18"/>
    </sheetView>
  </sheetViews>
  <sheetFormatPr baseColWidth="10" defaultRowHeight="12.75" x14ac:dyDescent="0.2"/>
  <cols>
    <col min="1" max="1" width="27.125" customWidth="1"/>
    <col min="2" max="2" width="11.625" customWidth="1"/>
    <col min="3" max="3" width="1.75" customWidth="1"/>
    <col min="4" max="4" width="11.625" customWidth="1"/>
    <col min="5" max="5" width="1.75" customWidth="1"/>
    <col min="6" max="6" width="12.625" customWidth="1"/>
    <col min="7" max="7" width="1.75" customWidth="1"/>
    <col min="8" max="8" width="13.625" customWidth="1"/>
    <col min="9" max="9" width="2" style="45" customWidth="1"/>
    <col min="10" max="10" width="9.5" customWidth="1"/>
    <col min="11" max="11" width="14.375" customWidth="1"/>
    <col min="12" max="13" width="2.625" customWidth="1"/>
    <col min="15" max="15" width="14.875" customWidth="1"/>
    <col min="16" max="16" width="14.375" customWidth="1"/>
    <col min="17" max="17" width="27.625" bestFit="1" customWidth="1"/>
  </cols>
  <sheetData>
    <row r="1" spans="1:17" ht="23.25" customHeight="1" x14ac:dyDescent="0.35">
      <c r="A1" s="137" t="s">
        <v>0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N1" s="123" t="s">
        <v>30</v>
      </c>
      <c r="O1" s="123"/>
      <c r="P1" s="123"/>
    </row>
    <row r="2" spans="1:17" ht="22.5" customHeight="1" x14ac:dyDescent="0.3">
      <c r="A2" s="138">
        <v>2024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  <c r="N2" s="123"/>
      <c r="O2" s="123"/>
      <c r="P2" s="123"/>
    </row>
    <row r="3" spans="1:17" x14ac:dyDescent="0.2">
      <c r="A3" s="139" t="s">
        <v>1</v>
      </c>
      <c r="B3" s="139"/>
      <c r="C3" s="139"/>
      <c r="D3" s="139"/>
      <c r="E3" s="139"/>
      <c r="F3" s="139"/>
      <c r="G3" s="139"/>
      <c r="H3" s="139"/>
      <c r="I3" s="139"/>
      <c r="J3" s="139"/>
      <c r="K3" s="139"/>
    </row>
    <row r="4" spans="1:17" ht="13.5" thickBot="1" x14ac:dyDescent="0.25">
      <c r="A4" s="1"/>
      <c r="B4" s="1"/>
      <c r="C4" s="1"/>
      <c r="D4" s="1"/>
      <c r="E4" s="1"/>
      <c r="F4" s="1"/>
      <c r="G4" s="1"/>
      <c r="H4" s="1"/>
      <c r="I4" s="40"/>
      <c r="J4" s="2"/>
      <c r="K4" s="1"/>
    </row>
    <row r="5" spans="1:17" ht="38.25" x14ac:dyDescent="0.2">
      <c r="A5" s="39" t="s">
        <v>2</v>
      </c>
      <c r="B5" s="3"/>
      <c r="C5" s="3"/>
      <c r="D5" s="3"/>
      <c r="E5" s="3"/>
      <c r="F5" s="3"/>
      <c r="G5" s="4"/>
      <c r="H5" s="5" t="s">
        <v>3</v>
      </c>
      <c r="I5" s="140" t="s">
        <v>4</v>
      </c>
      <c r="J5" s="141"/>
      <c r="K5" s="6" t="s">
        <v>5</v>
      </c>
      <c r="N5" s="76" t="s">
        <v>32</v>
      </c>
      <c r="O5" s="77" t="s">
        <v>45</v>
      </c>
      <c r="P5" s="77" t="s">
        <v>46</v>
      </c>
    </row>
    <row r="6" spans="1:17" ht="15" x14ac:dyDescent="0.25">
      <c r="A6" s="7" t="s">
        <v>6</v>
      </c>
      <c r="B6" s="8"/>
      <c r="C6" s="8"/>
      <c r="D6" s="8"/>
      <c r="E6" s="8"/>
      <c r="F6" s="8"/>
      <c r="G6" s="9"/>
      <c r="H6" s="10"/>
      <c r="I6" s="41" t="s">
        <v>7</v>
      </c>
      <c r="J6" s="11">
        <v>0.34</v>
      </c>
      <c r="K6" s="12">
        <f>+H6*J6</f>
        <v>0</v>
      </c>
      <c r="N6" s="65"/>
      <c r="O6" s="68">
        <v>65</v>
      </c>
      <c r="P6" s="75">
        <f>N6*O6</f>
        <v>0</v>
      </c>
      <c r="Q6" s="122" t="str">
        <f>IF(P6&lt;H6,"attention trop de production", "")</f>
        <v/>
      </c>
    </row>
    <row r="7" spans="1:17" ht="15" x14ac:dyDescent="0.25">
      <c r="A7" s="7" t="s">
        <v>8</v>
      </c>
      <c r="B7" s="8"/>
      <c r="C7" s="8"/>
      <c r="D7" s="8"/>
      <c r="E7" s="8"/>
      <c r="F7" s="8"/>
      <c r="G7" s="9"/>
      <c r="H7" s="10"/>
      <c r="I7" s="41" t="s">
        <v>7</v>
      </c>
      <c r="J7" s="11">
        <v>0.34</v>
      </c>
      <c r="K7" s="12">
        <f t="shared" ref="K7:K16" si="0">+H7*J7</f>
        <v>0</v>
      </c>
      <c r="N7" s="65"/>
      <c r="O7" s="68">
        <v>65</v>
      </c>
      <c r="P7" s="75">
        <f t="shared" ref="P7:P12" si="1">N7*O7</f>
        <v>0</v>
      </c>
      <c r="Q7" s="122" t="str">
        <f t="shared" ref="Q7:Q12" si="2">IF(P7&lt;H7,"attention trop de production", "")</f>
        <v/>
      </c>
    </row>
    <row r="8" spans="1:17" ht="15" x14ac:dyDescent="0.25">
      <c r="A8" s="7" t="s">
        <v>9</v>
      </c>
      <c r="B8" s="8"/>
      <c r="C8" s="8"/>
      <c r="D8" s="8"/>
      <c r="E8" s="8"/>
      <c r="F8" s="8"/>
      <c r="G8" s="9"/>
      <c r="H8" s="10"/>
      <c r="I8" s="41" t="s">
        <v>7</v>
      </c>
      <c r="J8" s="11">
        <v>0.34</v>
      </c>
      <c r="K8" s="12">
        <f t="shared" si="0"/>
        <v>0</v>
      </c>
      <c r="N8" s="65"/>
      <c r="O8" s="68">
        <v>59</v>
      </c>
      <c r="P8" s="75">
        <f t="shared" si="1"/>
        <v>0</v>
      </c>
      <c r="Q8" s="122" t="str">
        <f t="shared" si="2"/>
        <v/>
      </c>
    </row>
    <row r="9" spans="1:17" ht="15" x14ac:dyDescent="0.25">
      <c r="A9" s="7" t="s">
        <v>10</v>
      </c>
      <c r="B9" s="8"/>
      <c r="C9" s="8"/>
      <c r="D9" s="8"/>
      <c r="E9" s="8"/>
      <c r="F9" s="8"/>
      <c r="G9" s="9"/>
      <c r="H9" s="10"/>
      <c r="I9" s="41" t="s">
        <v>7</v>
      </c>
      <c r="J9" s="11">
        <v>0.34</v>
      </c>
      <c r="K9" s="12">
        <f t="shared" si="0"/>
        <v>0</v>
      </c>
      <c r="N9" s="65"/>
      <c r="O9" s="68">
        <v>59</v>
      </c>
      <c r="P9" s="75">
        <f t="shared" si="1"/>
        <v>0</v>
      </c>
      <c r="Q9" s="122" t="str">
        <f t="shared" si="2"/>
        <v/>
      </c>
    </row>
    <row r="10" spans="1:17" ht="15" x14ac:dyDescent="0.25">
      <c r="A10" s="7" t="s">
        <v>11</v>
      </c>
      <c r="B10" s="8"/>
      <c r="C10" s="8"/>
      <c r="D10" s="8"/>
      <c r="E10" s="8"/>
      <c r="F10" s="8"/>
      <c r="G10" s="9"/>
      <c r="H10" s="10"/>
      <c r="I10" s="41" t="s">
        <v>7</v>
      </c>
      <c r="J10" s="11">
        <v>0.54</v>
      </c>
      <c r="K10" s="12">
        <f t="shared" si="0"/>
        <v>0</v>
      </c>
      <c r="N10" s="65"/>
      <c r="O10" s="68">
        <v>49</v>
      </c>
      <c r="P10" s="75">
        <f t="shared" si="1"/>
        <v>0</v>
      </c>
      <c r="Q10" s="122" t="str">
        <f t="shared" si="2"/>
        <v/>
      </c>
    </row>
    <row r="11" spans="1:17" ht="15" x14ac:dyDescent="0.25">
      <c r="A11" s="7" t="s">
        <v>12</v>
      </c>
      <c r="B11" s="8"/>
      <c r="C11" s="8"/>
      <c r="D11" s="8"/>
      <c r="E11" s="8"/>
      <c r="F11" s="8"/>
      <c r="G11" s="9"/>
      <c r="H11" s="10"/>
      <c r="I11" s="41" t="s">
        <v>7</v>
      </c>
      <c r="J11" s="11">
        <v>0.6</v>
      </c>
      <c r="K11" s="12">
        <f t="shared" si="0"/>
        <v>0</v>
      </c>
      <c r="N11" s="65"/>
      <c r="O11" s="68">
        <v>78</v>
      </c>
      <c r="P11" s="75">
        <f t="shared" si="1"/>
        <v>0</v>
      </c>
      <c r="Q11" s="122" t="str">
        <f t="shared" si="2"/>
        <v/>
      </c>
    </row>
    <row r="12" spans="1:17" ht="15" x14ac:dyDescent="0.25">
      <c r="A12" s="7" t="s">
        <v>13</v>
      </c>
      <c r="B12" s="8"/>
      <c r="C12" s="8"/>
      <c r="D12" s="8"/>
      <c r="E12" s="8"/>
      <c r="F12" s="8"/>
      <c r="G12" s="9"/>
      <c r="H12" s="10"/>
      <c r="I12" s="41" t="s">
        <v>7</v>
      </c>
      <c r="J12" s="11">
        <v>0.6</v>
      </c>
      <c r="K12" s="12">
        <f t="shared" si="0"/>
        <v>0</v>
      </c>
      <c r="N12" s="65"/>
      <c r="O12" s="68">
        <v>78</v>
      </c>
      <c r="P12" s="75">
        <f t="shared" si="1"/>
        <v>0</v>
      </c>
      <c r="Q12" s="122" t="str">
        <f t="shared" si="2"/>
        <v/>
      </c>
    </row>
    <row r="13" spans="1:17" ht="39.75" customHeight="1" x14ac:dyDescent="0.2">
      <c r="A13" s="124"/>
      <c r="B13" s="126" t="s">
        <v>95</v>
      </c>
      <c r="C13" s="127"/>
      <c r="D13" s="128"/>
      <c r="E13" s="13"/>
      <c r="F13" s="129" t="s">
        <v>96</v>
      </c>
      <c r="G13" s="14"/>
      <c r="H13" s="131"/>
      <c r="I13" s="132"/>
      <c r="J13" s="132"/>
      <c r="K13" s="133"/>
      <c r="N13" s="70"/>
      <c r="O13" s="71"/>
      <c r="P13" s="70"/>
    </row>
    <row r="14" spans="1:17" x14ac:dyDescent="0.2">
      <c r="A14" s="125"/>
      <c r="B14" s="15" t="s">
        <v>97</v>
      </c>
      <c r="C14" s="15"/>
      <c r="D14" s="15" t="s">
        <v>98</v>
      </c>
      <c r="E14" s="16"/>
      <c r="F14" s="130"/>
      <c r="G14" s="17"/>
      <c r="H14" s="134"/>
      <c r="I14" s="135"/>
      <c r="J14" s="135"/>
      <c r="K14" s="136"/>
      <c r="N14" s="72"/>
      <c r="O14" s="73"/>
      <c r="P14" s="72"/>
    </row>
    <row r="15" spans="1:17" ht="15" x14ac:dyDescent="0.25">
      <c r="A15" s="18" t="s">
        <v>14</v>
      </c>
      <c r="B15" s="19"/>
      <c r="C15" s="20" t="s">
        <v>15</v>
      </c>
      <c r="D15" s="19"/>
      <c r="E15" s="20" t="s">
        <v>15</v>
      </c>
      <c r="F15" s="19"/>
      <c r="G15" s="20" t="s">
        <v>16</v>
      </c>
      <c r="H15" s="21">
        <f>SUM(B15+D15+F15)</f>
        <v>0</v>
      </c>
      <c r="I15" s="41" t="s">
        <v>7</v>
      </c>
      <c r="J15" s="11">
        <v>0.34</v>
      </c>
      <c r="K15" s="12">
        <f t="shared" si="0"/>
        <v>0</v>
      </c>
      <c r="N15" s="65"/>
      <c r="O15" s="68">
        <v>50</v>
      </c>
      <c r="P15" s="75">
        <f t="shared" ref="P15:P16" si="3">N15*O15</f>
        <v>0</v>
      </c>
      <c r="Q15" s="122" t="str">
        <f t="shared" ref="Q15:Q16" si="4">IF(P15&lt;H15,"attention trop de production", "")</f>
        <v/>
      </c>
    </row>
    <row r="16" spans="1:17" ht="15" x14ac:dyDescent="0.25">
      <c r="A16" s="18" t="s">
        <v>17</v>
      </c>
      <c r="B16" s="19"/>
      <c r="C16" s="20" t="s">
        <v>15</v>
      </c>
      <c r="D16" s="19"/>
      <c r="E16" s="20" t="s">
        <v>15</v>
      </c>
      <c r="F16" s="19"/>
      <c r="G16" s="20" t="s">
        <v>16</v>
      </c>
      <c r="H16" s="21">
        <f>SUM(B16+D16+F16)</f>
        <v>0</v>
      </c>
      <c r="I16" s="41" t="s">
        <v>7</v>
      </c>
      <c r="J16" s="11">
        <v>0.54</v>
      </c>
      <c r="K16" s="12">
        <f t="shared" si="0"/>
        <v>0</v>
      </c>
      <c r="N16" s="65"/>
      <c r="O16" s="68">
        <v>49</v>
      </c>
      <c r="P16" s="75">
        <f t="shared" si="3"/>
        <v>0</v>
      </c>
      <c r="Q16" s="122" t="str">
        <f t="shared" si="4"/>
        <v/>
      </c>
    </row>
    <row r="17" spans="1:16" x14ac:dyDescent="0.2">
      <c r="A17" s="22" t="s">
        <v>18</v>
      </c>
      <c r="B17" s="8"/>
      <c r="C17" s="8"/>
      <c r="D17" s="8"/>
      <c r="E17" s="8"/>
      <c r="F17" s="8"/>
      <c r="G17" s="9"/>
      <c r="H17" s="21">
        <f>SUM(H6+H7+H8+H9+H10+H11+H12+H15+H16)</f>
        <v>0</v>
      </c>
      <c r="I17" s="41" t="s">
        <v>7</v>
      </c>
      <c r="J17" s="11">
        <v>0.12</v>
      </c>
      <c r="K17" s="12">
        <f t="shared" ref="K17:K26" si="5">H17*J17</f>
        <v>0</v>
      </c>
      <c r="N17" s="104">
        <f>SUM(N6:N16)</f>
        <v>0</v>
      </c>
      <c r="O17" s="74" t="s">
        <v>27</v>
      </c>
      <c r="P17" s="69"/>
    </row>
    <row r="18" spans="1:16" x14ac:dyDescent="0.2">
      <c r="A18" s="22" t="s">
        <v>78</v>
      </c>
      <c r="B18" s="8"/>
      <c r="C18" s="8"/>
      <c r="D18" s="8"/>
      <c r="E18" s="8"/>
      <c r="F18" s="8"/>
      <c r="G18" s="9"/>
      <c r="H18" s="110">
        <f>N17</f>
        <v>0</v>
      </c>
      <c r="I18" s="41" t="s">
        <v>7</v>
      </c>
      <c r="J18" s="11">
        <v>6</v>
      </c>
      <c r="K18" s="12">
        <f>H18*J18</f>
        <v>0</v>
      </c>
      <c r="N18" s="107"/>
      <c r="O18" s="108"/>
      <c r="P18" s="109"/>
    </row>
    <row r="19" spans="1:16" x14ac:dyDescent="0.2">
      <c r="A19" s="22" t="s">
        <v>19</v>
      </c>
      <c r="B19" s="8"/>
      <c r="C19" s="8"/>
      <c r="D19" s="8"/>
      <c r="E19" s="8"/>
      <c r="F19" s="8"/>
      <c r="G19" s="9"/>
      <c r="H19" s="23">
        <v>1</v>
      </c>
      <c r="I19" s="41" t="s">
        <v>7</v>
      </c>
      <c r="J19" s="11">
        <v>85</v>
      </c>
      <c r="K19" s="12">
        <f t="shared" si="5"/>
        <v>85</v>
      </c>
    </row>
    <row r="20" spans="1:16" x14ac:dyDescent="0.2">
      <c r="A20" s="22" t="s">
        <v>20</v>
      </c>
      <c r="B20" s="8"/>
      <c r="C20" s="8"/>
      <c r="D20" s="8"/>
      <c r="E20" s="8"/>
      <c r="F20" s="8"/>
      <c r="G20" s="9"/>
      <c r="H20" s="23">
        <v>1</v>
      </c>
      <c r="I20" s="41" t="s">
        <v>7</v>
      </c>
      <c r="J20" s="11">
        <v>59.8</v>
      </c>
      <c r="K20" s="12">
        <f t="shared" si="5"/>
        <v>59.8</v>
      </c>
    </row>
    <row r="21" spans="1:16" x14ac:dyDescent="0.2">
      <c r="A21" s="22" t="s">
        <v>21</v>
      </c>
      <c r="B21" s="8"/>
      <c r="C21" s="8"/>
      <c r="D21" s="8"/>
      <c r="E21" s="8"/>
      <c r="F21" s="8"/>
      <c r="G21" s="9"/>
      <c r="H21" s="23"/>
      <c r="I21" s="41" t="s">
        <v>7</v>
      </c>
      <c r="J21" s="11">
        <v>120</v>
      </c>
      <c r="K21" s="12">
        <f t="shared" si="5"/>
        <v>0</v>
      </c>
      <c r="O21" s="66"/>
      <c r="P21" s="66"/>
    </row>
    <row r="22" spans="1:16" x14ac:dyDescent="0.2">
      <c r="A22" s="22" t="s">
        <v>22</v>
      </c>
      <c r="B22" s="8"/>
      <c r="C22" s="8"/>
      <c r="D22" s="8"/>
      <c r="E22" s="8"/>
      <c r="F22" s="8"/>
      <c r="G22" s="9"/>
      <c r="H22" s="21">
        <f>SUM(H6+H7+H8+H9+H10+H11+H12+H15+H16)</f>
        <v>0</v>
      </c>
      <c r="I22" s="41" t="s">
        <v>7</v>
      </c>
      <c r="J22" s="11">
        <v>0.15</v>
      </c>
      <c r="K22" s="12">
        <f t="shared" si="5"/>
        <v>0</v>
      </c>
    </row>
    <row r="23" spans="1:16" x14ac:dyDescent="0.2">
      <c r="A23" s="22" t="s">
        <v>23</v>
      </c>
      <c r="B23" s="8"/>
      <c r="C23" s="8"/>
      <c r="D23" s="8"/>
      <c r="E23" s="8"/>
      <c r="F23" s="8"/>
      <c r="G23" s="9"/>
      <c r="H23" s="143">
        <f>N17</f>
        <v>0</v>
      </c>
      <c r="I23" s="41" t="s">
        <v>7</v>
      </c>
      <c r="J23" s="11">
        <v>9.6</v>
      </c>
      <c r="K23" s="12">
        <f t="shared" si="5"/>
        <v>0</v>
      </c>
    </row>
    <row r="24" spans="1:16" x14ac:dyDescent="0.2">
      <c r="A24" s="22" t="s">
        <v>24</v>
      </c>
      <c r="B24" s="8"/>
      <c r="C24" s="8"/>
      <c r="D24" s="8"/>
      <c r="E24" s="8"/>
      <c r="F24" s="8"/>
      <c r="G24" s="9"/>
      <c r="H24" s="143">
        <f>N17</f>
        <v>0</v>
      </c>
      <c r="I24" s="41" t="s">
        <v>7</v>
      </c>
      <c r="J24" s="11">
        <v>1.5</v>
      </c>
      <c r="K24" s="12">
        <f t="shared" si="5"/>
        <v>0</v>
      </c>
    </row>
    <row r="25" spans="1:16" x14ac:dyDescent="0.2">
      <c r="A25" s="24" t="s">
        <v>25</v>
      </c>
      <c r="B25" s="25"/>
      <c r="C25" s="25"/>
      <c r="D25" s="25"/>
      <c r="E25" s="25"/>
      <c r="F25" s="25"/>
      <c r="G25" s="26"/>
      <c r="H25" s="27"/>
      <c r="I25" s="42" t="s">
        <v>7</v>
      </c>
      <c r="J25" s="28">
        <v>18</v>
      </c>
      <c r="K25" s="12">
        <f>H25*J25</f>
        <v>0</v>
      </c>
    </row>
    <row r="26" spans="1:16" ht="13.5" thickBot="1" x14ac:dyDescent="0.25">
      <c r="A26" s="29" t="s">
        <v>26</v>
      </c>
      <c r="B26" s="30"/>
      <c r="C26" s="30"/>
      <c r="D26" s="30"/>
      <c r="E26" s="30"/>
      <c r="F26" s="30"/>
      <c r="G26" s="31"/>
      <c r="H26" s="32"/>
      <c r="I26" s="43" t="s">
        <v>7</v>
      </c>
      <c r="J26" s="33">
        <v>78</v>
      </c>
      <c r="K26" s="34">
        <f t="shared" si="5"/>
        <v>0</v>
      </c>
    </row>
    <row r="27" spans="1:16" ht="13.5" thickBot="1" x14ac:dyDescent="0.25">
      <c r="A27" s="35" t="s">
        <v>27</v>
      </c>
      <c r="B27" s="36"/>
      <c r="C27" s="36"/>
      <c r="D27" s="36"/>
      <c r="E27" s="36"/>
      <c r="F27" s="36"/>
      <c r="G27" s="36"/>
      <c r="H27" s="37"/>
      <c r="I27" s="44"/>
      <c r="J27" s="38"/>
      <c r="K27" s="58">
        <f>SUM(K6+K7+K8+K9+K10+K11+K12+K15+K16+K17+K19+K20+K21+K22+K23+K24+K25+K26+K18)</f>
        <v>144.80000000000001</v>
      </c>
    </row>
    <row r="31" spans="1:16" x14ac:dyDescent="0.2">
      <c r="O31" s="67"/>
      <c r="P31" s="67"/>
    </row>
  </sheetData>
  <mergeCells count="9">
    <mergeCell ref="N1:P2"/>
    <mergeCell ref="A13:A14"/>
    <mergeCell ref="B13:D13"/>
    <mergeCell ref="F13:F14"/>
    <mergeCell ref="H13:K14"/>
    <mergeCell ref="A1:K1"/>
    <mergeCell ref="A2:K2"/>
    <mergeCell ref="A3:K3"/>
    <mergeCell ref="I5:J5"/>
  </mergeCells>
  <pageMargins left="0.7" right="0.7" top="0.75" bottom="0.75" header="0.3" footer="0.3"/>
  <pageSetup paperSize="9" scale="4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3F10E7-F302-4117-9655-BD901D3E89A3}">
  <dimension ref="A1:M17"/>
  <sheetViews>
    <sheetView zoomScale="130" zoomScaleNormal="130" workbookViewId="0">
      <selection activeCell="J10" sqref="J10"/>
    </sheetView>
  </sheetViews>
  <sheetFormatPr baseColWidth="10" defaultRowHeight="12.75" x14ac:dyDescent="0.2"/>
  <cols>
    <col min="1" max="1" width="13.25" customWidth="1"/>
    <col min="6" max="6" width="10" customWidth="1"/>
  </cols>
  <sheetData>
    <row r="1" spans="1:13" ht="15.75" x14ac:dyDescent="0.25">
      <c r="A1" s="46" t="s">
        <v>28</v>
      </c>
    </row>
    <row r="2" spans="1:13" ht="15.75" x14ac:dyDescent="0.25">
      <c r="A2" s="46"/>
    </row>
    <row r="3" spans="1:13" ht="63.75" x14ac:dyDescent="0.2">
      <c r="A3" s="48" t="s">
        <v>31</v>
      </c>
      <c r="B3" s="48" t="s">
        <v>55</v>
      </c>
      <c r="C3" s="48" t="s">
        <v>56</v>
      </c>
      <c r="D3" s="48" t="s">
        <v>49</v>
      </c>
      <c r="E3" s="48" t="s">
        <v>50</v>
      </c>
      <c r="F3" s="48" t="s">
        <v>29</v>
      </c>
      <c r="G3" s="48" t="s">
        <v>54</v>
      </c>
      <c r="I3" s="102" t="s">
        <v>72</v>
      </c>
      <c r="J3" s="103" t="s">
        <v>71</v>
      </c>
      <c r="K3" s="48" t="s">
        <v>74</v>
      </c>
      <c r="L3" s="48" t="s">
        <v>75</v>
      </c>
      <c r="M3" s="48" t="s">
        <v>76</v>
      </c>
    </row>
    <row r="4" spans="1:13" x14ac:dyDescent="0.2">
      <c r="A4" s="78" t="s">
        <v>47</v>
      </c>
      <c r="B4" s="49"/>
      <c r="C4" s="50"/>
      <c r="D4" s="79">
        <v>50</v>
      </c>
      <c r="E4" s="51">
        <f>IF(C4&lt;D4*B4,C4,B4*D4)</f>
        <v>0</v>
      </c>
      <c r="F4" s="79">
        <v>62</v>
      </c>
      <c r="G4" s="51">
        <f>IF(C4&lt;F4*B4,C4,B4*F4)</f>
        <v>0</v>
      </c>
      <c r="I4" s="101">
        <f>E4+B16</f>
        <v>0</v>
      </c>
      <c r="J4" s="100" t="str">
        <f>IF(C4&gt;I4,"ERREUR L15","L15 OK")</f>
        <v>L15 OK</v>
      </c>
      <c r="K4" s="106">
        <f>B4*50</f>
        <v>0</v>
      </c>
      <c r="L4" s="106">
        <f>B4*60</f>
        <v>0</v>
      </c>
      <c r="M4" s="106">
        <f>C4-E4</f>
        <v>0</v>
      </c>
    </row>
    <row r="5" spans="1:13" x14ac:dyDescent="0.2">
      <c r="A5" s="78" t="s">
        <v>48</v>
      </c>
      <c r="B5" s="49"/>
      <c r="C5" s="50"/>
      <c r="D5" s="79">
        <v>49</v>
      </c>
      <c r="E5" s="51">
        <f>IF(C5&lt;D5*B5,C5,B5*D5)</f>
        <v>0</v>
      </c>
      <c r="F5" s="79">
        <v>61</v>
      </c>
      <c r="G5" s="51">
        <f>IF(C5&lt;F5*B5,C5,B5*F5)</f>
        <v>0</v>
      </c>
      <c r="I5" s="101">
        <f>E5+B17</f>
        <v>0</v>
      </c>
      <c r="J5" s="100" t="str">
        <f>IF(C5&gt;I5,"ERREUR L15","L15 OK")</f>
        <v>L15 OK</v>
      </c>
      <c r="K5" s="106">
        <f>B5*49</f>
        <v>0</v>
      </c>
      <c r="L5" s="106">
        <f>B5*59</f>
        <v>0</v>
      </c>
      <c r="M5" s="106">
        <f>C5-E5</f>
        <v>0</v>
      </c>
    </row>
    <row r="6" spans="1:13" ht="15.75" x14ac:dyDescent="0.25">
      <c r="A6" s="46"/>
    </row>
    <row r="7" spans="1:13" ht="15.75" x14ac:dyDescent="0.25">
      <c r="A7" s="46"/>
    </row>
    <row r="8" spans="1:13" ht="24.75" x14ac:dyDescent="0.3">
      <c r="A8" s="47" t="s">
        <v>53</v>
      </c>
      <c r="C8" s="47"/>
    </row>
    <row r="9" spans="1:13" ht="38.25" x14ac:dyDescent="0.2">
      <c r="A9" s="48" t="s">
        <v>31</v>
      </c>
      <c r="B9" s="48" t="s">
        <v>89</v>
      </c>
      <c r="C9" s="48" t="s">
        <v>90</v>
      </c>
      <c r="D9" s="48" t="s">
        <v>91</v>
      </c>
      <c r="E9" s="48" t="s">
        <v>92</v>
      </c>
      <c r="F9" s="48" t="s">
        <v>73</v>
      </c>
    </row>
    <row r="10" spans="1:13" x14ac:dyDescent="0.2">
      <c r="A10" s="78" t="s">
        <v>47</v>
      </c>
      <c r="B10" s="50"/>
      <c r="C10" s="51">
        <f>B10-D10</f>
        <v>0</v>
      </c>
      <c r="D10" s="51">
        <f>IF(E4&lt;D4*B4,IF(B10&lt;D4*B4-E4,B10,D4*B4-E4),0)</f>
        <v>0</v>
      </c>
      <c r="E10" s="105">
        <f>F10-D10-C10</f>
        <v>0</v>
      </c>
      <c r="F10" s="51">
        <f>IF(E4&lt;D4*B4,E4+D10,E4)</f>
        <v>0</v>
      </c>
    </row>
    <row r="11" spans="1:13" x14ac:dyDescent="0.2">
      <c r="A11" s="78" t="s">
        <v>48</v>
      </c>
      <c r="B11" s="50"/>
      <c r="C11" s="51">
        <f>B11-D11</f>
        <v>0</v>
      </c>
      <c r="D11" s="51">
        <f>IF(E5&lt;D5*B5,IF(B11&lt;D5*B5-E5,B11,D5*B5-E5),0)</f>
        <v>0</v>
      </c>
      <c r="E11" s="105">
        <f>F11-D11-C11</f>
        <v>0</v>
      </c>
      <c r="F11" s="51">
        <f>IF(E5&lt;D5*B5,E5+D11,E5-B11)</f>
        <v>0</v>
      </c>
    </row>
    <row r="14" spans="1:13" ht="24.75" x14ac:dyDescent="0.3">
      <c r="A14" s="47" t="s">
        <v>51</v>
      </c>
    </row>
    <row r="15" spans="1:13" ht="63.75" x14ac:dyDescent="0.2">
      <c r="A15" s="48" t="s">
        <v>31</v>
      </c>
      <c r="B15" s="48" t="s">
        <v>52</v>
      </c>
      <c r="C15" s="48" t="s">
        <v>93</v>
      </c>
      <c r="D15" s="48" t="s">
        <v>68</v>
      </c>
      <c r="E15" s="48" t="s">
        <v>70</v>
      </c>
      <c r="F15" s="48" t="s">
        <v>69</v>
      </c>
      <c r="H15" s="142" t="s">
        <v>77</v>
      </c>
      <c r="I15" s="142"/>
    </row>
    <row r="16" spans="1:13" x14ac:dyDescent="0.2">
      <c r="A16" s="78" t="s">
        <v>47</v>
      </c>
      <c r="B16" s="51">
        <f>IF(C10&lt;=(H16*B4-C10),G4-E4,H16*B4-C10)</f>
        <v>0</v>
      </c>
      <c r="C16" s="51">
        <f>C10+B16</f>
        <v>0</v>
      </c>
      <c r="D16" s="51">
        <f>IF(C16&lt;B4*10,C16,B4*10)</f>
        <v>0</v>
      </c>
      <c r="E16" s="65"/>
      <c r="F16" s="51">
        <f>IF(E16="",C16,C16-E16)</f>
        <v>0</v>
      </c>
      <c r="H16" s="79">
        <v>30</v>
      </c>
      <c r="I16" s="51">
        <f>H16*B4</f>
        <v>0</v>
      </c>
    </row>
    <row r="17" spans="1:9" x14ac:dyDescent="0.2">
      <c r="A17" s="78" t="s">
        <v>48</v>
      </c>
      <c r="B17" s="51">
        <f>G5-E5</f>
        <v>0</v>
      </c>
      <c r="C17" s="51">
        <f>C11+B17</f>
        <v>0</v>
      </c>
      <c r="D17" s="51">
        <f>IF(C17&lt;B5*10,C17,B5*10)</f>
        <v>0</v>
      </c>
      <c r="E17" s="65"/>
      <c r="F17" s="51">
        <f>IF(E17="",C17,C17-E17)</f>
        <v>0</v>
      </c>
      <c r="H17" s="79">
        <v>30</v>
      </c>
      <c r="I17" s="51">
        <f>H17*B5</f>
        <v>0</v>
      </c>
    </row>
  </sheetData>
  <protectedRanges>
    <protectedRange sqref="B10" name="stock VCI"/>
    <protectedRange sqref="F5 B4:C4 D5" name="Surface et L15 et rdt auto"/>
  </protectedRanges>
  <mergeCells count="1">
    <mergeCell ref="H15:I1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6"/>
  <sheetViews>
    <sheetView zoomScale="130" zoomScaleNormal="130" workbookViewId="0">
      <selection activeCell="H10" sqref="H10"/>
    </sheetView>
  </sheetViews>
  <sheetFormatPr baseColWidth="10" defaultRowHeight="12.75" x14ac:dyDescent="0.2"/>
  <cols>
    <col min="1" max="1" width="13.25" customWidth="1"/>
    <col min="6" max="6" width="10" customWidth="1"/>
  </cols>
  <sheetData>
    <row r="1" spans="1:11" ht="15.75" x14ac:dyDescent="0.25">
      <c r="A1" s="46" t="s">
        <v>28</v>
      </c>
    </row>
    <row r="2" spans="1:11" ht="15.75" x14ac:dyDescent="0.25">
      <c r="A2" s="46"/>
    </row>
    <row r="3" spans="1:11" ht="24.75" x14ac:dyDescent="0.3">
      <c r="A3" s="47" t="s">
        <v>35</v>
      </c>
      <c r="D3" s="52"/>
      <c r="E3" s="52"/>
      <c r="F3" s="52"/>
      <c r="G3" s="52"/>
      <c r="H3" s="52"/>
      <c r="I3" s="52"/>
      <c r="J3" s="53"/>
      <c r="K3" s="52"/>
    </row>
    <row r="4" spans="1:11" x14ac:dyDescent="0.2">
      <c r="A4" s="54" t="s">
        <v>79</v>
      </c>
      <c r="B4" s="54" t="s">
        <v>94</v>
      </c>
      <c r="C4" s="54" t="s">
        <v>36</v>
      </c>
      <c r="D4" s="52"/>
      <c r="E4" s="54" t="s">
        <v>79</v>
      </c>
      <c r="F4" s="54" t="s">
        <v>94</v>
      </c>
      <c r="G4" s="54" t="s">
        <v>36</v>
      </c>
      <c r="H4" s="52"/>
      <c r="I4" s="54" t="s">
        <v>79</v>
      </c>
      <c r="J4" s="54" t="s">
        <v>94</v>
      </c>
      <c r="K4" s="54" t="s">
        <v>36</v>
      </c>
    </row>
    <row r="5" spans="1:11" x14ac:dyDescent="0.2">
      <c r="A5" s="80">
        <f>C5-B5</f>
        <v>0</v>
      </c>
      <c r="B5" s="55"/>
      <c r="C5" s="82">
        <f>B5*100/85</f>
        <v>0</v>
      </c>
      <c r="D5" s="56"/>
      <c r="E5" s="57"/>
      <c r="F5" s="82">
        <f>G5-E5</f>
        <v>0</v>
      </c>
      <c r="G5" s="82">
        <f>E5*100/15</f>
        <v>0</v>
      </c>
      <c r="H5" s="56"/>
      <c r="I5" s="80">
        <f>K5*I6</f>
        <v>0</v>
      </c>
      <c r="J5" s="82">
        <f>K5*J6</f>
        <v>0</v>
      </c>
      <c r="K5" s="55"/>
    </row>
    <row r="6" spans="1:11" x14ac:dyDescent="0.2">
      <c r="A6" s="81">
        <v>0.15</v>
      </c>
      <c r="B6" s="81">
        <v>0.85</v>
      </c>
      <c r="C6" s="83">
        <v>1</v>
      </c>
      <c r="D6" s="52"/>
      <c r="E6" s="81">
        <v>0.15</v>
      </c>
      <c r="F6" s="81">
        <v>0.85</v>
      </c>
      <c r="G6" s="83">
        <v>1</v>
      </c>
      <c r="H6" s="52"/>
      <c r="I6" s="81">
        <v>0.15</v>
      </c>
      <c r="J6" s="81">
        <v>0.85</v>
      </c>
      <c r="K6" s="83">
        <v>1</v>
      </c>
    </row>
  </sheetData>
  <protectedRanges>
    <protectedRange sqref="K5" name="Volume Total"/>
    <protectedRange sqref="E5" name="Volume 2019"/>
    <protectedRange sqref="B5" name="Volume 2020"/>
  </protectedRange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4"/>
  <sheetViews>
    <sheetView workbookViewId="0">
      <selection activeCell="A7" sqref="A7"/>
    </sheetView>
  </sheetViews>
  <sheetFormatPr baseColWidth="10" defaultRowHeight="15.75" x14ac:dyDescent="0.25"/>
  <cols>
    <col min="1" max="1" width="41.25" bestFit="1" customWidth="1"/>
    <col min="2" max="2" width="14.5" customWidth="1"/>
    <col min="3" max="3" width="41.25" style="113" bestFit="1" customWidth="1"/>
    <col min="4" max="5" width="11" style="113"/>
  </cols>
  <sheetData>
    <row r="1" spans="1:2" x14ac:dyDescent="0.25">
      <c r="A1" s="46" t="s">
        <v>28</v>
      </c>
    </row>
    <row r="2" spans="1:2" x14ac:dyDescent="0.25">
      <c r="A2" s="46"/>
    </row>
    <row r="3" spans="1:2" ht="24.75" x14ac:dyDescent="0.3">
      <c r="A3" s="47" t="s">
        <v>41</v>
      </c>
    </row>
    <row r="4" spans="1:2" x14ac:dyDescent="0.25">
      <c r="A4" s="61"/>
    </row>
    <row r="5" spans="1:2" x14ac:dyDescent="0.25">
      <c r="A5" s="112" t="s">
        <v>88</v>
      </c>
      <c r="B5" s="88"/>
    </row>
    <row r="6" spans="1:2" x14ac:dyDescent="0.25">
      <c r="A6" s="113"/>
      <c r="B6" s="113"/>
    </row>
    <row r="7" spans="1:2" x14ac:dyDescent="0.25">
      <c r="A7" s="111" t="s">
        <v>83</v>
      </c>
      <c r="B7" s="88"/>
    </row>
    <row r="8" spans="1:2" x14ac:dyDescent="0.25">
      <c r="A8" s="111" t="s">
        <v>85</v>
      </c>
      <c r="B8" s="88"/>
    </row>
    <row r="9" spans="1:2" x14ac:dyDescent="0.25">
      <c r="A9" s="111" t="s">
        <v>87</v>
      </c>
      <c r="B9" s="114" t="str">
        <f>IF(B5=Feuil1!A13,Feuil1!B13*'Coek K'!B7,IF('Coek K'!B5=Feuil1!A14,Feuil1!B14*'Coek K'!B7,IF('Coek K'!B5=Feuil1!A15,Feuil1!B15*'Coek K'!B7,IF('Coek K'!B5=Feuil1!A16,Feuil1!B16*'Coek K'!B7,IF('Coek K'!B5=Feuil1!A17,Feuil1!B17*'Coek K'!B7,IF('Coek K'!B5=Feuil1!A18,Feuil1!B18*'Coek K'!B7,""))))))</f>
        <v/>
      </c>
    </row>
    <row r="10" spans="1:2" x14ac:dyDescent="0.25">
      <c r="A10" s="111" t="s">
        <v>86</v>
      </c>
      <c r="B10" s="114">
        <f>B7*Feuil1!B19</f>
        <v>0</v>
      </c>
    </row>
    <row r="11" spans="1:2" x14ac:dyDescent="0.25">
      <c r="A11" s="111" t="s">
        <v>81</v>
      </c>
      <c r="B11" s="114" t="str">
        <f>IF(B5=Feuil1!A13,Feuil1!C13,IF('Coek K'!B5=Feuil1!A14,Feuil1!C14,IF('Coek K'!B5=Feuil1!A15,Feuil1!C15,IF('Coek K'!B5=Feuil1!A16,Feuil1!C16,IF('Coek K'!B5=Feuil1!A17,Feuil1!C17,IF('Coek K'!B5=Feuil1!A18,Feuil1!C18,""))))))</f>
        <v/>
      </c>
    </row>
    <row r="12" spans="1:2" ht="18.75" x14ac:dyDescent="0.3">
      <c r="A12" s="115" t="s">
        <v>84</v>
      </c>
      <c r="B12" s="116" t="e">
        <f>B10-(B8*B11)</f>
        <v>#VALUE!</v>
      </c>
    </row>
    <row r="13" spans="1:2" x14ac:dyDescent="0.25">
      <c r="A13" s="59"/>
    </row>
    <row r="14" spans="1:2" x14ac:dyDescent="0.25">
      <c r="A14" s="59"/>
    </row>
  </sheetData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FA17A48-9910-4446-80A0-176D534E14C2}">
          <x14:formula1>
            <xm:f>Feuil1!$A$13:$A$18</xm:f>
          </x14:formula1>
          <xm:sqref>B5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0A19AF-F0EB-4447-9FBE-D5B7C8C1BD74}">
  <dimension ref="A1:F26"/>
  <sheetViews>
    <sheetView workbookViewId="0">
      <selection activeCell="D6" sqref="D6"/>
    </sheetView>
  </sheetViews>
  <sheetFormatPr baseColWidth="10" defaultRowHeight="12.75" x14ac:dyDescent="0.2"/>
  <cols>
    <col min="1" max="1" width="25.625" customWidth="1"/>
    <col min="2" max="2" width="12.625" customWidth="1"/>
    <col min="3" max="3" width="13" customWidth="1"/>
    <col min="4" max="4" width="13.375" customWidth="1"/>
    <col min="5" max="6" width="15.625" customWidth="1"/>
  </cols>
  <sheetData>
    <row r="1" spans="1:6" ht="15.75" x14ac:dyDescent="0.25">
      <c r="A1" s="46" t="s">
        <v>28</v>
      </c>
      <c r="B1" s="46"/>
    </row>
    <row r="2" spans="1:6" ht="15.75" x14ac:dyDescent="0.25">
      <c r="A2" s="46"/>
      <c r="B2" s="46"/>
    </row>
    <row r="3" spans="1:6" ht="24.75" x14ac:dyDescent="0.3">
      <c r="A3" s="47" t="s">
        <v>43</v>
      </c>
      <c r="B3" s="62"/>
    </row>
    <row r="4" spans="1:6" ht="26.25" x14ac:dyDescent="0.4">
      <c r="A4" s="63"/>
      <c r="B4" s="64"/>
    </row>
    <row r="5" spans="1:6" ht="63" x14ac:dyDescent="0.2">
      <c r="A5" s="60" t="s">
        <v>31</v>
      </c>
      <c r="B5" s="60" t="s">
        <v>44</v>
      </c>
      <c r="C5" s="60" t="s">
        <v>42</v>
      </c>
      <c r="D5" s="60" t="s">
        <v>29</v>
      </c>
      <c r="E5" s="60" t="s">
        <v>66</v>
      </c>
      <c r="F5" s="60" t="s">
        <v>67</v>
      </c>
    </row>
    <row r="6" spans="1:6" ht="15.75" x14ac:dyDescent="0.25">
      <c r="A6" s="88"/>
      <c r="B6" s="89"/>
      <c r="C6" s="90"/>
      <c r="D6" s="84" t="str">
        <f t="shared" ref="D6:D25" si="0">IF(A6="Bordeaux blanc sec",65,IF(A6="Bordeaux blanc +4g",65,IF(A6="Bordeaux rosé",59,IF(A6="Bordeaux clairet",59,IF(A6="Bordeaux rouge",60,IF(A6="Bordeaux Supérieur blanc",49,IF(A6="Bordeaux Supérieur rouge",59,IF(A6="Crémant",78,""))))))))</f>
        <v/>
      </c>
      <c r="E6" s="85" t="str">
        <f>IF(A6&lt;&gt;"",D6 * B6,"")</f>
        <v/>
      </c>
      <c r="F6" s="85" t="str">
        <f>IF(A6&lt;&gt;"",(E6 -E6* C6),"")</f>
        <v/>
      </c>
    </row>
    <row r="7" spans="1:6" ht="15.75" x14ac:dyDescent="0.25">
      <c r="A7" s="88"/>
      <c r="B7" s="91"/>
      <c r="C7" s="90"/>
      <c r="D7" s="84" t="str">
        <f t="shared" si="0"/>
        <v/>
      </c>
      <c r="E7" s="85" t="str">
        <f t="shared" ref="E7:E25" si="1">IF(A7&lt;&gt;"",D7 * B7,"")</f>
        <v/>
      </c>
      <c r="F7" s="85" t="str">
        <f t="shared" ref="F7:F25" si="2">IF(A7&lt;&gt;"",(E7 * (100-C7)/100),"")</f>
        <v/>
      </c>
    </row>
    <row r="8" spans="1:6" ht="15.75" x14ac:dyDescent="0.25">
      <c r="A8" s="88"/>
      <c r="B8" s="91"/>
      <c r="C8" s="90"/>
      <c r="D8" s="84" t="str">
        <f t="shared" si="0"/>
        <v/>
      </c>
      <c r="E8" s="85" t="str">
        <f t="shared" si="1"/>
        <v/>
      </c>
      <c r="F8" s="85" t="str">
        <f t="shared" si="2"/>
        <v/>
      </c>
    </row>
    <row r="9" spans="1:6" ht="15.75" x14ac:dyDescent="0.25">
      <c r="A9" s="88"/>
      <c r="B9" s="91"/>
      <c r="C9" s="90"/>
      <c r="D9" s="84" t="str">
        <f t="shared" si="0"/>
        <v/>
      </c>
      <c r="E9" s="85" t="str">
        <f t="shared" si="1"/>
        <v/>
      </c>
      <c r="F9" s="85" t="str">
        <f t="shared" si="2"/>
        <v/>
      </c>
    </row>
    <row r="10" spans="1:6" ht="15.75" x14ac:dyDescent="0.25">
      <c r="A10" s="88"/>
      <c r="B10" s="91"/>
      <c r="C10" s="90"/>
      <c r="D10" s="84" t="str">
        <f t="shared" si="0"/>
        <v/>
      </c>
      <c r="E10" s="85" t="str">
        <f t="shared" si="1"/>
        <v/>
      </c>
      <c r="F10" s="85" t="str">
        <f t="shared" si="2"/>
        <v/>
      </c>
    </row>
    <row r="11" spans="1:6" ht="15.75" x14ac:dyDescent="0.25">
      <c r="A11" s="88"/>
      <c r="B11" s="91"/>
      <c r="C11" s="90"/>
      <c r="D11" s="84" t="str">
        <f t="shared" si="0"/>
        <v/>
      </c>
      <c r="E11" s="85" t="str">
        <f t="shared" si="1"/>
        <v/>
      </c>
      <c r="F11" s="85" t="str">
        <f t="shared" si="2"/>
        <v/>
      </c>
    </row>
    <row r="12" spans="1:6" ht="15.75" x14ac:dyDescent="0.25">
      <c r="A12" s="88"/>
      <c r="B12" s="91"/>
      <c r="C12" s="90"/>
      <c r="D12" s="84" t="str">
        <f t="shared" si="0"/>
        <v/>
      </c>
      <c r="E12" s="85" t="str">
        <f t="shared" si="1"/>
        <v/>
      </c>
      <c r="F12" s="85" t="str">
        <f t="shared" si="2"/>
        <v/>
      </c>
    </row>
    <row r="13" spans="1:6" ht="15.75" x14ac:dyDescent="0.25">
      <c r="A13" s="88"/>
      <c r="B13" s="91"/>
      <c r="C13" s="90"/>
      <c r="D13" s="84" t="str">
        <f t="shared" si="0"/>
        <v/>
      </c>
      <c r="E13" s="85" t="str">
        <f t="shared" si="1"/>
        <v/>
      </c>
      <c r="F13" s="85" t="str">
        <f t="shared" si="2"/>
        <v/>
      </c>
    </row>
    <row r="14" spans="1:6" ht="15.75" x14ac:dyDescent="0.25">
      <c r="A14" s="88"/>
      <c r="B14" s="91"/>
      <c r="C14" s="90"/>
      <c r="D14" s="84" t="str">
        <f t="shared" si="0"/>
        <v/>
      </c>
      <c r="E14" s="85" t="str">
        <f t="shared" si="1"/>
        <v/>
      </c>
      <c r="F14" s="85" t="str">
        <f t="shared" si="2"/>
        <v/>
      </c>
    </row>
    <row r="15" spans="1:6" ht="15.75" x14ac:dyDescent="0.25">
      <c r="A15" s="88"/>
      <c r="B15" s="91"/>
      <c r="C15" s="90"/>
      <c r="D15" s="84" t="str">
        <f t="shared" si="0"/>
        <v/>
      </c>
      <c r="E15" s="85" t="str">
        <f t="shared" si="1"/>
        <v/>
      </c>
      <c r="F15" s="85" t="str">
        <f t="shared" si="2"/>
        <v/>
      </c>
    </row>
    <row r="16" spans="1:6" ht="15.75" x14ac:dyDescent="0.25">
      <c r="A16" s="88"/>
      <c r="B16" s="91"/>
      <c r="C16" s="90"/>
      <c r="D16" s="84" t="str">
        <f t="shared" si="0"/>
        <v/>
      </c>
      <c r="E16" s="85" t="str">
        <f t="shared" si="1"/>
        <v/>
      </c>
      <c r="F16" s="85" t="str">
        <f t="shared" si="2"/>
        <v/>
      </c>
    </row>
    <row r="17" spans="1:6" ht="15.75" x14ac:dyDescent="0.25">
      <c r="A17" s="88"/>
      <c r="B17" s="91"/>
      <c r="C17" s="90"/>
      <c r="D17" s="84" t="str">
        <f t="shared" si="0"/>
        <v/>
      </c>
      <c r="E17" s="85" t="str">
        <f t="shared" si="1"/>
        <v/>
      </c>
      <c r="F17" s="85" t="str">
        <f t="shared" si="2"/>
        <v/>
      </c>
    </row>
    <row r="18" spans="1:6" ht="15.75" x14ac:dyDescent="0.25">
      <c r="A18" s="88"/>
      <c r="B18" s="91"/>
      <c r="C18" s="90"/>
      <c r="D18" s="84" t="str">
        <f t="shared" si="0"/>
        <v/>
      </c>
      <c r="E18" s="85" t="str">
        <f t="shared" si="1"/>
        <v/>
      </c>
      <c r="F18" s="85" t="str">
        <f t="shared" si="2"/>
        <v/>
      </c>
    </row>
    <row r="19" spans="1:6" ht="15.75" x14ac:dyDescent="0.25">
      <c r="A19" s="88"/>
      <c r="B19" s="91"/>
      <c r="C19" s="90"/>
      <c r="D19" s="84" t="str">
        <f t="shared" si="0"/>
        <v/>
      </c>
      <c r="E19" s="85" t="str">
        <f t="shared" si="1"/>
        <v/>
      </c>
      <c r="F19" s="85" t="str">
        <f t="shared" si="2"/>
        <v/>
      </c>
    </row>
    <row r="20" spans="1:6" ht="15.75" x14ac:dyDescent="0.25">
      <c r="A20" s="88"/>
      <c r="B20" s="91"/>
      <c r="C20" s="90"/>
      <c r="D20" s="84" t="str">
        <f t="shared" si="0"/>
        <v/>
      </c>
      <c r="E20" s="85" t="str">
        <f t="shared" si="1"/>
        <v/>
      </c>
      <c r="F20" s="85" t="str">
        <f t="shared" si="2"/>
        <v/>
      </c>
    </row>
    <row r="21" spans="1:6" ht="15.75" x14ac:dyDescent="0.25">
      <c r="A21" s="88"/>
      <c r="B21" s="91"/>
      <c r="C21" s="90"/>
      <c r="D21" s="84" t="str">
        <f t="shared" si="0"/>
        <v/>
      </c>
      <c r="E21" s="85" t="str">
        <f t="shared" si="1"/>
        <v/>
      </c>
      <c r="F21" s="85" t="str">
        <f t="shared" si="2"/>
        <v/>
      </c>
    </row>
    <row r="22" spans="1:6" ht="15.75" x14ac:dyDescent="0.25">
      <c r="A22" s="88"/>
      <c r="B22" s="91"/>
      <c r="C22" s="90"/>
      <c r="D22" s="84" t="str">
        <f t="shared" si="0"/>
        <v/>
      </c>
      <c r="E22" s="85" t="str">
        <f t="shared" si="1"/>
        <v/>
      </c>
      <c r="F22" s="85" t="str">
        <f t="shared" si="2"/>
        <v/>
      </c>
    </row>
    <row r="23" spans="1:6" ht="15.75" x14ac:dyDescent="0.25">
      <c r="A23" s="88"/>
      <c r="B23" s="91"/>
      <c r="C23" s="90"/>
      <c r="D23" s="84" t="str">
        <f t="shared" si="0"/>
        <v/>
      </c>
      <c r="E23" s="85" t="str">
        <f t="shared" si="1"/>
        <v/>
      </c>
      <c r="F23" s="85" t="str">
        <f t="shared" si="2"/>
        <v/>
      </c>
    </row>
    <row r="24" spans="1:6" ht="15.75" x14ac:dyDescent="0.25">
      <c r="A24" s="88"/>
      <c r="B24" s="91"/>
      <c r="C24" s="90"/>
      <c r="D24" s="84" t="str">
        <f t="shared" si="0"/>
        <v/>
      </c>
      <c r="E24" s="85" t="str">
        <f t="shared" si="1"/>
        <v/>
      </c>
      <c r="F24" s="85" t="str">
        <f t="shared" si="2"/>
        <v/>
      </c>
    </row>
    <row r="25" spans="1:6" ht="16.5" thickBot="1" x14ac:dyDescent="0.3">
      <c r="A25" s="92"/>
      <c r="B25" s="93"/>
      <c r="C25" s="94"/>
      <c r="D25" s="86" t="str">
        <f t="shared" si="0"/>
        <v/>
      </c>
      <c r="E25" s="85" t="str">
        <f t="shared" si="1"/>
        <v/>
      </c>
      <c r="F25" s="87" t="str">
        <f t="shared" si="2"/>
        <v/>
      </c>
    </row>
    <row r="26" spans="1:6" ht="16.5" thickBot="1" x14ac:dyDescent="0.3">
      <c r="A26" s="95" t="s">
        <v>27</v>
      </c>
      <c r="B26" s="96">
        <f>SUM(B6:B25)</f>
        <v>0</v>
      </c>
      <c r="C26" s="97"/>
      <c r="D26" s="97"/>
      <c r="E26" s="98">
        <f>SUM(E6:E25)</f>
        <v>0</v>
      </c>
      <c r="F26" s="99">
        <f>SUM(F6:F25)</f>
        <v>0</v>
      </c>
    </row>
  </sheetData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7DA0196-C16A-4927-A310-6124C514802D}">
          <x14:formula1>
            <xm:f>Feuil1!$A$2:$A$9</xm:f>
          </x14:formula1>
          <xm:sqref>C27:C441 A6:A25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FE5045-4B2F-4D9F-8C4B-32C8CDDC351D}">
  <dimension ref="A1:C20"/>
  <sheetViews>
    <sheetView workbookViewId="0">
      <selection activeCell="E24" sqref="E24"/>
    </sheetView>
  </sheetViews>
  <sheetFormatPr baseColWidth="10" defaultRowHeight="12.75" x14ac:dyDescent="0.2"/>
  <cols>
    <col min="1" max="1" width="19.625" bestFit="1" customWidth="1"/>
  </cols>
  <sheetData>
    <row r="1" spans="1:3" x14ac:dyDescent="0.2">
      <c r="A1" s="67" t="s">
        <v>59</v>
      </c>
    </row>
    <row r="2" spans="1:3" x14ac:dyDescent="0.2">
      <c r="A2" t="s">
        <v>33</v>
      </c>
    </row>
    <row r="3" spans="1:3" x14ac:dyDescent="0.2">
      <c r="A3" t="s">
        <v>34</v>
      </c>
    </row>
    <row r="4" spans="1:3" x14ac:dyDescent="0.2">
      <c r="A4" t="s">
        <v>60</v>
      </c>
    </row>
    <row r="5" spans="1:3" x14ac:dyDescent="0.2">
      <c r="A5" t="s">
        <v>61</v>
      </c>
    </row>
    <row r="6" spans="1:3" x14ac:dyDescent="0.2">
      <c r="A6" t="s">
        <v>62</v>
      </c>
    </row>
    <row r="7" spans="1:3" x14ac:dyDescent="0.2">
      <c r="A7" t="s">
        <v>63</v>
      </c>
    </row>
    <row r="8" spans="1:3" x14ac:dyDescent="0.2">
      <c r="A8" t="s">
        <v>64</v>
      </c>
    </row>
    <row r="9" spans="1:3" x14ac:dyDescent="0.2">
      <c r="A9" t="s">
        <v>65</v>
      </c>
    </row>
    <row r="12" spans="1:3" ht="15.75" x14ac:dyDescent="0.25">
      <c r="A12" s="117"/>
      <c r="B12" s="117" t="s">
        <v>80</v>
      </c>
      <c r="C12" s="117" t="s">
        <v>81</v>
      </c>
    </row>
    <row r="13" spans="1:3" ht="15.75" x14ac:dyDescent="0.25">
      <c r="A13" s="118" t="s">
        <v>37</v>
      </c>
      <c r="B13" s="119">
        <v>37</v>
      </c>
      <c r="C13" s="88">
        <v>1.7569999999999999</v>
      </c>
    </row>
    <row r="14" spans="1:3" ht="15.75" x14ac:dyDescent="0.25">
      <c r="A14" s="118" t="s">
        <v>38</v>
      </c>
      <c r="B14" s="119">
        <v>40</v>
      </c>
      <c r="C14" s="118">
        <v>1.625</v>
      </c>
    </row>
    <row r="15" spans="1:3" ht="15.75" x14ac:dyDescent="0.25">
      <c r="A15" s="118" t="s">
        <v>39</v>
      </c>
      <c r="B15" s="119">
        <v>40</v>
      </c>
      <c r="C15" s="118">
        <v>1.625</v>
      </c>
    </row>
    <row r="16" spans="1:3" ht="15.75" x14ac:dyDescent="0.25">
      <c r="A16" s="118" t="s">
        <v>40</v>
      </c>
      <c r="B16" s="119">
        <v>40</v>
      </c>
      <c r="C16" s="118">
        <v>1.625</v>
      </c>
    </row>
    <row r="17" spans="1:3" ht="15.75" x14ac:dyDescent="0.25">
      <c r="A17" s="118" t="s">
        <v>57</v>
      </c>
      <c r="B17" s="119">
        <v>20</v>
      </c>
      <c r="C17" s="118">
        <v>3.25</v>
      </c>
    </row>
    <row r="18" spans="1:3" ht="15.75" x14ac:dyDescent="0.25">
      <c r="A18" s="118" t="s">
        <v>58</v>
      </c>
      <c r="B18" s="119">
        <v>20</v>
      </c>
      <c r="C18" s="118">
        <v>3.25</v>
      </c>
    </row>
    <row r="19" spans="1:3" ht="15.75" x14ac:dyDescent="0.25">
      <c r="A19" s="120" t="s">
        <v>33</v>
      </c>
      <c r="B19" s="119">
        <v>65</v>
      </c>
      <c r="C19" s="121" t="s">
        <v>82</v>
      </c>
    </row>
    <row r="20" spans="1:3" ht="15.75" x14ac:dyDescent="0.25">
      <c r="A20" s="120" t="s">
        <v>34</v>
      </c>
      <c r="B20" s="119">
        <v>65</v>
      </c>
      <c r="C20" s="121" t="s">
        <v>82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N 0 D A A B Q S w M E F A A C A A g A k n 1 N V Q t j I 9 u l A A A A 9 g A A A B I A H A B D b 2 5 m a W c v U G F j a 2 F n Z S 5 4 b W w g o h g A K K A U A A A A A A A A A A A A A A A A A A A A A A A A A A A A h Y + x D o I w G I R f h X S n L W V R 8 l M G E y d J j C b G t Y E C j V B M W y z v 5 u A j + Q p i F H V z v L v v k r v 7 9 Q b Z 2 L X B R R q r e p 2 i C F M U S F 3 0 p d J 1 i g Z X h Q u U c d i K 4 i R q G U y w t s l o V Y o a 5 8 4 J I d 5 7 7 G P c m 5 o w S i N y z D f 7 o p G d C J W 2 T u h C o k + r / N 9 C H A 6 v M Z z h i C 5 x T B m m Q G Y T c q W / A J v 2 P t M f E 1 Z D 6 w Y j e W X C 9 Q 7 I L I G 8 P / A H U E s D B B Q A A g A I A J J 9 T V U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S f U 1 V S c G + J d Y A A A A 0 A Q A A E w A c A E Z v c m 1 1 b G F z L 1 N l Y 3 R p b 2 4 x L m 0 g o h g A K K A U A A A A A A A A A A A A A A A A A A A A A A A A A A A A b Y 5 B a s M w E E X 3 B t 9 B q B s b 3 E D X w Y v a B L o q A R u y M F 7 I 8 o S a S J o w G k G C 8 Y H a a + R i V X B o N 5 n N M J / / 3 x 8 P m i d 0 o l n 3 2 z Z N 0 s R / K Y J R V J f B K K d F K Q x w m o g 4 D Q b S E J X d R Y P Z 1 I E I H B + Q T g P i K c v n 7 l N Z K O U j K v u l q 9 F x 9 P T F S n i R O / f K t x 8 G L 8 6 E N n g Z c a 0 a D G z 2 8 U a G D 1 A j k M / W s k J 0 D / 3 d m E Y r o 8 i X T A H 6 / A / Z X s 8 g L I 7 T c b p 9 / / N a U s 4 f k W y N J l h 3 d / n s y Q P F P M u q k o X g O 0 e 5 6 7 L k a T K 5 5 / j t L 1 B L A Q I t A B Q A A g A I A J J 9 T V U L Y y P b p Q A A A P Y A A A A S A A A A A A A A A A A A A A A A A A A A A A B D b 2 5 m a W c v U G F j a 2 F n Z S 5 4 b W x Q S w E C L Q A U A A I A C A C S f U 1 V D 8 r p q 6 Q A A A D p A A A A E w A A A A A A A A A A A A A A A A D x A A A A W 0 N v b n R l b n R f V H l w Z X N d L n h t b F B L A Q I t A B Q A A g A I A J J 9 T V V J w b 4 l 1 g A A A D Q B A A A T A A A A A A A A A A A A A A A A A O I B A A B G b 3 J t d W x h c y 9 T Z W N 0 a W 9 u M S 5 t U E s F B g A A A A A D A A M A w g A A A A U D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l E I A A A A A A A A L w g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C e G J s Y W 5 j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T A t M T N U M T M 6 N D Q 6 M j E u M T E y N j Q 4 M F o i I C 8 + P E V u d H J 5 I F R 5 c G U 9 I k Z p b G x D b 2 x 1 b W 5 U e X B l c y I g V m F s d W U 9 I n N B Q T 0 9 I i A v P j x F b n R y e S B U e X B l P S J G a W x s Q 2 9 s d W 1 u T m F t Z X M i I F Z h b H V l P S J z W y Z x d W 9 0 O 0 J C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Q n h i b G F u Y y 9 B d X R v U m V t b 3 Z l Z E N v b H V t b n M x L n t C Q i w w f S Z x d W 9 0 O 1 0 s J n F 1 b 3 Q 7 Q 2 9 s d W 1 u Q 2 9 1 b n Q m c X V v d D s 6 M S w m c X V v d D t L Z X l D b 2 x 1 b W 5 O Y W 1 l c y Z x d W 9 0 O z p b X S w m c X V v d D t D b 2 x 1 b W 5 J Z G V u d G l 0 a W V z J n F 1 b 3 Q 7 O l s m c X V v d D t T Z W N 0 a W 9 u M S 9 C e G J s Y W 5 j L 0 F 1 d G 9 S Z W 1 v d m V k Q 2 9 s d W 1 u c z E u e 0 J C L D B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C e G J s Y W 5 j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J 4 Y m x h b m M v R W 4 t d C V D M y V B Q X R l c y U y M H B y b 2 1 1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J 4 Y m x h b m M v V H l w Z S U y M G 1 v Z G l m a S V D M y V B O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A + E + m 4 4 y e G R I i T X A Y O Y U x S A A A A A A I A A A A A A A N m A A D A A A A A E A A A A N o T h G D B C C O a b c a b z M x I S v w A A A A A B I A A A K A A A A A Q A A A A A 2 r c W s t G g 2 X 4 B h Z w N o 8 t H l A A A A B f y c a m h D c N a Z a O n K a e h t 6 S P e 4 a + q S W q j H v A I P p D g q Z V n V I C K n r e q X b k d s c 1 o q q X I 9 b P i W 9 4 g 6 i 2 I x 8 S K V l w l D D 4 w L T t E g s p V 8 T A Y k k / T l 4 i R Q A A A C z F B 2 B S e 2 o T J W 0 R T G h 5 7 6 x X G O q J Q = = < / D a t a M a s h u p > 
</file>

<file path=customXml/itemProps1.xml><?xml version="1.0" encoding="utf-8"?>
<ds:datastoreItem xmlns:ds="http://schemas.openxmlformats.org/officeDocument/2006/customXml" ds:itemID="{4487E99C-464B-4FAB-98A4-9A5F1CCFEB3D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6</vt:i4>
      </vt:variant>
    </vt:vector>
  </HeadingPairs>
  <TitlesOfParts>
    <vt:vector size="6" baseType="lpstr">
      <vt:lpstr>DRev</vt:lpstr>
      <vt:lpstr>VCI-VReg</vt:lpstr>
      <vt:lpstr>85-15</vt:lpstr>
      <vt:lpstr>Coek K</vt:lpstr>
      <vt:lpstr>Pieds morts et manquants</vt:lpstr>
      <vt:lpstr>Feuil1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Corinne_TRICAUD</dc:creator>
  <cp:lastModifiedBy>Corinne VECCHIATO</cp:lastModifiedBy>
  <cp:lastPrinted>2024-03-15T10:06:55Z</cp:lastPrinted>
  <dcterms:created xsi:type="dcterms:W3CDTF">2019-11-04T13:14:58Z</dcterms:created>
  <dcterms:modified xsi:type="dcterms:W3CDTF">2024-12-04T07:57:33Z</dcterms:modified>
</cp:coreProperties>
</file>